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320" windowHeight="12900" activeTab="0"/>
  </bookViews>
  <sheets>
    <sheet name="EDO RESULTADOS" sheetId="1" r:id="rId1"/>
    <sheet name="EDO RESULTADOS (2)" sheetId="2" r:id="rId2"/>
    <sheet name="BALANCE" sheetId="3" state="hidden" r:id="rId3"/>
    <sheet name="FLUJO" sheetId="4" state="hidden" r:id="rId4"/>
  </sheets>
  <definedNames/>
  <calcPr fullCalcOnLoad="1"/>
</workbook>
</file>

<file path=xl/sharedStrings.xml><?xml version="1.0" encoding="utf-8"?>
<sst xmlns="http://schemas.openxmlformats.org/spreadsheetml/2006/main" count="150" uniqueCount="50">
  <si>
    <t>Cuentas x Clientes</t>
  </si>
  <si>
    <t>Habitaciones Disponibles</t>
  </si>
  <si>
    <t>%</t>
  </si>
  <si>
    <t>$</t>
  </si>
  <si>
    <t>COSTO/CTO</t>
  </si>
  <si>
    <t>HOTEL GOLDESNSUN, S.A. DE C.V.</t>
  </si>
  <si>
    <t>(Cifras Expresadas en Pesos Mexicanos)</t>
  </si>
  <si>
    <t>POR EL PERIODO COMPRENDIDO DEL 1O. DE ENERO AL 31 DE DICIEMBRE 2013</t>
  </si>
  <si>
    <t>Ingresos</t>
  </si>
  <si>
    <t>Habitaciones</t>
  </si>
  <si>
    <t>Alimentos</t>
  </si>
  <si>
    <t>Bebidas</t>
  </si>
  <si>
    <t>Teléfonos</t>
  </si>
  <si>
    <t>Lavandería</t>
  </si>
  <si>
    <t>Eventos</t>
  </si>
  <si>
    <t>Spa</t>
  </si>
  <si>
    <t>Otros Ingresos</t>
  </si>
  <si>
    <t>Total Ingresos</t>
  </si>
  <si>
    <t>Costo de Venta</t>
  </si>
  <si>
    <t>Total Costo Venta</t>
  </si>
  <si>
    <t>Nómina y Relativos</t>
  </si>
  <si>
    <t>Alimentos y Bebidas</t>
  </si>
  <si>
    <t>Total Nómina y relativos</t>
  </si>
  <si>
    <t>Gastos de Operación</t>
  </si>
  <si>
    <t>Gastos Indirectos</t>
  </si>
  <si>
    <t>Administración</t>
  </si>
  <si>
    <t>Promoción y Publicidad</t>
  </si>
  <si>
    <t>Mantenimiento</t>
  </si>
  <si>
    <t>Ernegéticos</t>
  </si>
  <si>
    <t>Utilidad Departamental</t>
  </si>
  <si>
    <t>Otros Gastos</t>
  </si>
  <si>
    <t>Total Gastos Operación</t>
  </si>
  <si>
    <t>Total Utilidad Departamental</t>
  </si>
  <si>
    <t>Total Gastos Indirectos</t>
  </si>
  <si>
    <t>Utilidad Bruta de Operación</t>
  </si>
  <si>
    <t>ESTADO DE PÉRDIDAS O GANANCIAS</t>
  </si>
  <si>
    <t>POR EL PERIODO COMPRENDIDO DEL 1O. DE ENERO AL 31 DE DICIEMBRE 2010</t>
  </si>
  <si>
    <t>(Cifras Expresadas en Pesos Mexicanos)</t>
  </si>
  <si>
    <t>Habitaciones Ocupadas</t>
  </si>
  <si>
    <t>% de Ocupación</t>
  </si>
  <si>
    <t xml:space="preserve">HOTEL GOLDESNSUN </t>
  </si>
  <si>
    <t>Tarifa Promedio</t>
  </si>
  <si>
    <t>Efectivo Caja y Bancos</t>
  </si>
  <si>
    <t>VARIACIÓN</t>
  </si>
  <si>
    <t>Variación en Utilidad</t>
  </si>
  <si>
    <t>Variación Ingresos</t>
  </si>
  <si>
    <t>Variación Ingresos -</t>
  </si>
  <si>
    <t>Variación Utilidad</t>
  </si>
  <si>
    <t>Variación Ingresos</t>
  </si>
  <si>
    <t>Flow Through</t>
  </si>
</sst>
</file>

<file path=xl/styles.xml><?xml version="1.0" encoding="utf-8"?>
<styleSheet xmlns="http://schemas.openxmlformats.org/spreadsheetml/2006/main">
  <numFmts count="3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.00&quot;$&quot;;[Red]\-#,##0.00&quot;$&quot;"/>
    <numFmt numFmtId="165" formatCode="_-* #,##0&quot;$&quot;_-;\-* #,##0&quot;$&quot;_-;_-* &quot;-&quot;&quot;$&quot;_-;_-@_-"/>
    <numFmt numFmtId="166" formatCode="_-* #,##0_$_-;\-* #,##0_$_-;_-* &quot;-&quot;_$_-;_-@_-"/>
    <numFmt numFmtId="167" formatCode="_-* #,##0.00&quot;$&quot;_-;\-* #,##0.00&quot;$&quot;_-;_-* &quot;-&quot;??&quot;$&quot;_-;_-@_-"/>
    <numFmt numFmtId="168" formatCode="_-* #,##0.00_$_-;\-* #,##0.00_$_-;_-* &quot;-&quot;??_$_-;_-@_-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_-* #,##0.0_-;\-* #,##0.0_-;_-* &quot;-&quot;?_-;_-@_-"/>
    <numFmt numFmtId="181" formatCode="_-* #,##0.000_-;\-* #,##0.000_-;_-* &quot;-&quot;???_-;_-@_-"/>
    <numFmt numFmtId="182" formatCode="_-* #,##0.0_$_-;\-* #,##0.0_$_-;_-* &quot;-&quot;?_$_-;_-@_-"/>
    <numFmt numFmtId="183" formatCode="#,##0.0"/>
    <numFmt numFmtId="184" formatCode="#,##0.0000000000000"/>
    <numFmt numFmtId="185" formatCode="#,##0"/>
    <numFmt numFmtId="186" formatCode="General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8">
    <xf numFmtId="0" fontId="0" fillId="0" borderId="0" xfId="0" applyAlignment="1">
      <alignment/>
    </xf>
    <xf numFmtId="178" fontId="0" fillId="0" borderId="0" xfId="48" applyNumberFormat="1" applyFont="1" applyAlignment="1">
      <alignment/>
    </xf>
    <xf numFmtId="179" fontId="0" fillId="0" borderId="0" xfId="54" applyNumberFormat="1" applyFont="1" applyAlignment="1">
      <alignment/>
    </xf>
    <xf numFmtId="0" fontId="0" fillId="0" borderId="10" xfId="0" applyBorder="1" applyAlignment="1">
      <alignment/>
    </xf>
    <xf numFmtId="179" fontId="0" fillId="0" borderId="10" xfId="54" applyNumberFormat="1" applyFont="1" applyBorder="1" applyAlignment="1">
      <alignment/>
    </xf>
    <xf numFmtId="0" fontId="15" fillId="0" borderId="10" xfId="0" applyFont="1" applyBorder="1" applyAlignment="1">
      <alignment/>
    </xf>
    <xf numFmtId="179" fontId="15" fillId="0" borderId="10" xfId="54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54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48" applyNumberFormat="1" applyFont="1" applyBorder="1" applyAlignment="1">
      <alignment/>
    </xf>
    <xf numFmtId="3" fontId="15" fillId="0" borderId="10" xfId="48" applyNumberFormat="1" applyFont="1" applyBorder="1" applyAlignment="1">
      <alignment/>
    </xf>
    <xf numFmtId="3" fontId="0" fillId="0" borderId="0" xfId="48" applyNumberFormat="1" applyFont="1" applyAlignment="1">
      <alignment/>
    </xf>
    <xf numFmtId="3" fontId="0" fillId="0" borderId="10" xfId="0" applyNumberFormat="1" applyBorder="1" applyAlignment="1">
      <alignment/>
    </xf>
    <xf numFmtId="3" fontId="1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48" applyNumberFormat="1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5" fillId="0" borderId="11" xfId="0" applyFont="1" applyFill="1" applyBorder="1" applyAlignment="1">
      <alignment/>
    </xf>
    <xf numFmtId="0" fontId="0" fillId="0" borderId="12" xfId="0" applyBorder="1" applyAlignment="1">
      <alignment/>
    </xf>
    <xf numFmtId="184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3" fontId="0" fillId="2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3" fontId="0" fillId="0" borderId="10" xfId="48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66"/>
  <sheetViews>
    <sheetView tabSelected="1" zoomScale="125" zoomScaleNormal="125" zoomScalePageLayoutView="0" workbookViewId="0" topLeftCell="A1">
      <selection activeCell="A26" sqref="A26"/>
    </sheetView>
  </sheetViews>
  <sheetFormatPr defaultColWidth="11.421875" defaultRowHeight="15"/>
  <cols>
    <col min="1" max="1" width="6.28125" style="0" customWidth="1"/>
    <col min="2" max="2" width="3.00390625" style="0" customWidth="1"/>
    <col min="3" max="3" width="26.421875" style="0" customWidth="1"/>
    <col min="4" max="4" width="14.7109375" style="0" customWidth="1"/>
    <col min="7" max="7" width="2.421875" style="0" customWidth="1"/>
    <col min="15" max="15" width="16.421875" style="0" customWidth="1"/>
  </cols>
  <sheetData>
    <row r="1" spans="3:6" ht="13.5">
      <c r="C1" s="37" t="s">
        <v>5</v>
      </c>
      <c r="D1" s="37"/>
      <c r="E1" s="37"/>
      <c r="F1" s="37"/>
    </row>
    <row r="2" spans="3:10" ht="13.5">
      <c r="C2" s="36" t="s">
        <v>35</v>
      </c>
      <c r="D2" s="36"/>
      <c r="E2" s="36"/>
      <c r="F2" s="36"/>
      <c r="H2" s="36"/>
      <c r="I2" s="36"/>
      <c r="J2" s="36"/>
    </row>
    <row r="3" spans="3:10" ht="13.5">
      <c r="C3" s="36" t="s">
        <v>7</v>
      </c>
      <c r="D3" s="36"/>
      <c r="E3" s="36"/>
      <c r="F3" s="36"/>
      <c r="H3" s="36"/>
      <c r="I3" s="36"/>
      <c r="J3" s="36"/>
    </row>
    <row r="4" spans="3:10" ht="13.5">
      <c r="C4" s="37" t="s">
        <v>6</v>
      </c>
      <c r="D4" s="37"/>
      <c r="E4" s="37"/>
      <c r="F4" s="37"/>
      <c r="H4" s="37"/>
      <c r="I4" s="37"/>
      <c r="J4" s="37"/>
    </row>
    <row r="5" spans="3:10" ht="13.5">
      <c r="C5" s="8"/>
      <c r="D5" s="8"/>
      <c r="E5" s="8"/>
      <c r="F5" s="8"/>
      <c r="H5" s="21"/>
      <c r="I5" s="21"/>
      <c r="J5" s="21"/>
    </row>
    <row r="6" spans="3:10" ht="13.5">
      <c r="C6" s="9" t="s">
        <v>1</v>
      </c>
      <c r="D6" s="11">
        <f>250*365</f>
        <v>91250</v>
      </c>
      <c r="E6" s="9"/>
      <c r="F6" s="8"/>
      <c r="H6" s="11">
        <f>250*365</f>
        <v>91250</v>
      </c>
      <c r="I6" s="9"/>
      <c r="J6" s="21"/>
    </row>
    <row r="7" spans="3:10" ht="13.5">
      <c r="C7" s="9" t="s">
        <v>38</v>
      </c>
      <c r="D7" s="19">
        <f>D6*0.65</f>
        <v>59312.5</v>
      </c>
      <c r="E7" s="9"/>
      <c r="F7" s="22">
        <f>D7*2</f>
        <v>118625</v>
      </c>
      <c r="H7" s="19">
        <f>H6*H8</f>
        <v>58400</v>
      </c>
      <c r="I7" s="9"/>
      <c r="J7" s="22">
        <f>H7*2</f>
        <v>116800</v>
      </c>
    </row>
    <row r="8" spans="3:10" ht="13.5">
      <c r="C8" s="9" t="s">
        <v>39</v>
      </c>
      <c r="D8" s="10">
        <v>0.65</v>
      </c>
      <c r="E8" s="9"/>
      <c r="F8" s="8"/>
      <c r="H8" s="10">
        <v>0.64</v>
      </c>
      <c r="I8" s="9"/>
      <c r="J8" s="21"/>
    </row>
    <row r="9" spans="3:10" ht="13.5">
      <c r="C9" s="9" t="s">
        <v>41</v>
      </c>
      <c r="D9" s="11">
        <f>655</f>
        <v>655</v>
      </c>
      <c r="E9" s="9"/>
      <c r="F9" s="8"/>
      <c r="H9" s="11">
        <v>645</v>
      </c>
      <c r="I9" s="9"/>
      <c r="J9" s="21"/>
    </row>
    <row r="10" spans="3:13" ht="13.5">
      <c r="C10" s="8"/>
      <c r="D10" s="34">
        <v>2013</v>
      </c>
      <c r="E10" s="33"/>
      <c r="F10" s="33"/>
      <c r="H10" s="34">
        <v>2012</v>
      </c>
      <c r="I10" s="21"/>
      <c r="J10" s="21"/>
      <c r="L10" t="s">
        <v>43</v>
      </c>
      <c r="M10" t="s">
        <v>43</v>
      </c>
    </row>
    <row r="11" spans="3:13" ht="13.5">
      <c r="C11" s="5" t="s">
        <v>8</v>
      </c>
      <c r="D11" s="18" t="s">
        <v>3</v>
      </c>
      <c r="E11" s="18" t="s">
        <v>2</v>
      </c>
      <c r="F11" s="3" t="s">
        <v>4</v>
      </c>
      <c r="H11" s="18" t="s">
        <v>3</v>
      </c>
      <c r="I11" s="18" t="s">
        <v>2</v>
      </c>
      <c r="J11" s="3" t="s">
        <v>4</v>
      </c>
      <c r="L11" s="21" t="s">
        <v>3</v>
      </c>
      <c r="M11" s="21" t="s">
        <v>2</v>
      </c>
    </row>
    <row r="12" spans="3:13" ht="13.5">
      <c r="C12" s="3" t="s">
        <v>9</v>
      </c>
      <c r="D12" s="12">
        <f>D9*D7</f>
        <v>38849687.5</v>
      </c>
      <c r="E12" s="4">
        <f>D12/D$20</f>
        <v>0.5105575174577742</v>
      </c>
      <c r="F12" s="20">
        <f>D12/D$7</f>
        <v>655</v>
      </c>
      <c r="G12" s="1"/>
      <c r="H12" s="12">
        <f>H9*H7</f>
        <v>37668000</v>
      </c>
      <c r="I12" s="4">
        <f>H12/H$20</f>
        <v>0.5104348338899677</v>
      </c>
      <c r="J12" s="20">
        <f>H12/H$7</f>
        <v>645</v>
      </c>
      <c r="L12" s="15">
        <f>D12-H12</f>
        <v>1181687.5</v>
      </c>
      <c r="M12" s="25">
        <f>L12/H12</f>
        <v>0.03137112403100775</v>
      </c>
    </row>
    <row r="13" spans="3:13" ht="13.5">
      <c r="C13" s="3" t="s">
        <v>10</v>
      </c>
      <c r="D13" s="12">
        <f>(F7*0.6)*300</f>
        <v>21352500</v>
      </c>
      <c r="E13" s="4">
        <f aca="true" t="shared" si="0" ref="E13:E19">D13/D$20</f>
        <v>0.2806117653203034</v>
      </c>
      <c r="F13" s="20">
        <f aca="true" t="shared" si="1" ref="F13:F20">D13/D$7</f>
        <v>360</v>
      </c>
      <c r="G13" s="1"/>
      <c r="H13" s="12">
        <f>(J7*0.6)*302</f>
        <v>21164160</v>
      </c>
      <c r="I13" s="4">
        <f aca="true" t="shared" si="2" ref="I13:I19">H13/H$20</f>
        <v>0.2867931531809679</v>
      </c>
      <c r="J13" s="20">
        <f aca="true" t="shared" si="3" ref="J13:J20">H13/H$7</f>
        <v>362.4</v>
      </c>
      <c r="L13" s="15">
        <f aca="true" t="shared" si="4" ref="L13:L64">D13-H13</f>
        <v>188340</v>
      </c>
      <c r="M13" s="25">
        <f aca="true" t="shared" si="5" ref="M13:M64">L13/H13</f>
        <v>0.008899006622516557</v>
      </c>
    </row>
    <row r="14" spans="3:16" ht="13.5">
      <c r="C14" s="3" t="s">
        <v>11</v>
      </c>
      <c r="D14" s="12">
        <f>(F7*0.6)*130</f>
        <v>9252750</v>
      </c>
      <c r="E14" s="4">
        <f t="shared" si="0"/>
        <v>0.12159843163879813</v>
      </c>
      <c r="F14" s="20">
        <f t="shared" si="1"/>
        <v>156</v>
      </c>
      <c r="G14" s="1"/>
      <c r="H14" s="12">
        <f>(J7*0.6)*125</f>
        <v>8760000</v>
      </c>
      <c r="I14" s="4">
        <f t="shared" si="2"/>
        <v>0.11870577532324829</v>
      </c>
      <c r="J14" s="20">
        <f t="shared" si="3"/>
        <v>150</v>
      </c>
      <c r="L14" s="15">
        <f t="shared" si="4"/>
        <v>492750</v>
      </c>
      <c r="M14" s="25">
        <f t="shared" si="5"/>
        <v>0.05625</v>
      </c>
      <c r="O14" t="s">
        <v>44</v>
      </c>
      <c r="P14" s="17">
        <f>L64</f>
        <v>1269513.0665000044</v>
      </c>
    </row>
    <row r="15" spans="3:16" ht="13.5">
      <c r="C15" s="3" t="s">
        <v>14</v>
      </c>
      <c r="D15" s="12">
        <f>(50*250)*120</f>
        <v>1500000</v>
      </c>
      <c r="E15" s="4">
        <f t="shared" si="0"/>
        <v>0.01971280402671608</v>
      </c>
      <c r="F15" s="20">
        <f t="shared" si="1"/>
        <v>25.28977871443625</v>
      </c>
      <c r="G15" s="1"/>
      <c r="H15" s="12">
        <f>(50*250)*103</f>
        <v>1287500</v>
      </c>
      <c r="I15" s="4">
        <f t="shared" si="2"/>
        <v>0.017446767777246824</v>
      </c>
      <c r="J15" s="20">
        <f t="shared" si="3"/>
        <v>22.046232876712327</v>
      </c>
      <c r="L15" s="15">
        <f t="shared" si="4"/>
        <v>212500</v>
      </c>
      <c r="M15" s="25">
        <f t="shared" si="5"/>
        <v>0.1650485436893204</v>
      </c>
      <c r="O15" t="s">
        <v>45</v>
      </c>
      <c r="P15" s="17">
        <f>L20</f>
        <v>2296771.5</v>
      </c>
    </row>
    <row r="16" spans="3:16" ht="13.5">
      <c r="C16" s="3" t="s">
        <v>12</v>
      </c>
      <c r="D16" s="12">
        <v>794350</v>
      </c>
      <c r="E16" s="4">
        <f t="shared" si="0"/>
        <v>0.010439243919081279</v>
      </c>
      <c r="F16" s="20">
        <f t="shared" si="1"/>
        <v>13.392623814541622</v>
      </c>
      <c r="G16" s="1"/>
      <c r="H16" s="12">
        <v>720650</v>
      </c>
      <c r="I16" s="4">
        <f t="shared" si="2"/>
        <v>0.009765447144600328</v>
      </c>
      <c r="J16" s="20">
        <f t="shared" si="3"/>
        <v>12.339897260273972</v>
      </c>
      <c r="L16" s="15">
        <f t="shared" si="4"/>
        <v>73700</v>
      </c>
      <c r="M16" s="25">
        <f t="shared" si="5"/>
        <v>0.10226878512454035</v>
      </c>
      <c r="P16" s="26">
        <f>P14/P15</f>
        <v>0.5527380788641815</v>
      </c>
    </row>
    <row r="17" spans="3:13" ht="13.5">
      <c r="C17" s="3" t="s">
        <v>13</v>
      </c>
      <c r="D17" s="12">
        <v>530540</v>
      </c>
      <c r="E17" s="4">
        <f t="shared" si="0"/>
        <v>0.006972287365555966</v>
      </c>
      <c r="F17" s="20">
        <f t="shared" si="1"/>
        <v>8.944826132771338</v>
      </c>
      <c r="G17" s="1"/>
      <c r="H17" s="12">
        <v>489540</v>
      </c>
      <c r="I17" s="4">
        <f t="shared" si="2"/>
        <v>0.0066337015127560465</v>
      </c>
      <c r="J17" s="20">
        <f t="shared" si="3"/>
        <v>8.382534246575343</v>
      </c>
      <c r="L17" s="15">
        <f t="shared" si="4"/>
        <v>41000</v>
      </c>
      <c r="M17" s="25">
        <f t="shared" si="5"/>
        <v>0.08375209380234507</v>
      </c>
    </row>
    <row r="18" spans="3:16" ht="13.5">
      <c r="C18" s="3" t="s">
        <v>15</v>
      </c>
      <c r="D18" s="12">
        <f>F7*0.1*300</f>
        <v>3558750</v>
      </c>
      <c r="E18" s="4">
        <f t="shared" si="0"/>
        <v>0.0467686275533839</v>
      </c>
      <c r="F18" s="20">
        <f t="shared" si="1"/>
        <v>60</v>
      </c>
      <c r="G18" s="1"/>
      <c r="H18" s="12">
        <v>3456054</v>
      </c>
      <c r="I18" s="4">
        <f t="shared" si="2"/>
        <v>0.04683259927271844</v>
      </c>
      <c r="J18" s="20">
        <f t="shared" si="3"/>
        <v>59.179006849315066</v>
      </c>
      <c r="L18" s="15">
        <f t="shared" si="4"/>
        <v>102696</v>
      </c>
      <c r="M18" s="25">
        <f t="shared" si="5"/>
        <v>0.029714813483817094</v>
      </c>
      <c r="P18" s="17"/>
    </row>
    <row r="19" spans="3:13" ht="13.5">
      <c r="C19" s="3" t="s">
        <v>16</v>
      </c>
      <c r="D19" s="12">
        <v>254098</v>
      </c>
      <c r="E19" s="4">
        <f t="shared" si="0"/>
        <v>0.003339322718387002</v>
      </c>
      <c r="F19" s="20">
        <f t="shared" si="1"/>
        <v>4.284054794520548</v>
      </c>
      <c r="G19" s="1"/>
      <c r="H19" s="12">
        <v>250000</v>
      </c>
      <c r="I19" s="4">
        <f t="shared" si="2"/>
        <v>0.003387721898494529</v>
      </c>
      <c r="J19" s="20">
        <f t="shared" si="3"/>
        <v>4.280821917808219</v>
      </c>
      <c r="L19" s="15">
        <f t="shared" si="4"/>
        <v>4098</v>
      </c>
      <c r="M19" s="25">
        <f t="shared" si="5"/>
        <v>0.016392</v>
      </c>
    </row>
    <row r="20" spans="3:16" ht="13.5">
      <c r="C20" s="5" t="s">
        <v>17</v>
      </c>
      <c r="D20" s="13">
        <f>SUM(D12:D19)</f>
        <v>76092675.5</v>
      </c>
      <c r="E20" s="6">
        <f>D20/D20</f>
        <v>1</v>
      </c>
      <c r="F20" s="20">
        <f t="shared" si="1"/>
        <v>1282.9112834562698</v>
      </c>
      <c r="G20" s="1"/>
      <c r="H20" s="13">
        <f>SUM(H12:H19)</f>
        <v>73795904</v>
      </c>
      <c r="I20" s="6">
        <f>H20/H20</f>
        <v>1</v>
      </c>
      <c r="J20" s="20">
        <f t="shared" si="3"/>
        <v>1263.628493150685</v>
      </c>
      <c r="L20" s="15">
        <f t="shared" si="4"/>
        <v>2296771.5</v>
      </c>
      <c r="M20" s="25">
        <f t="shared" si="5"/>
        <v>0.031123292425552507</v>
      </c>
      <c r="P20" s="17"/>
    </row>
    <row r="21" spans="4:16" ht="13.5">
      <c r="D21" s="14"/>
      <c r="E21" s="1"/>
      <c r="F21" s="1"/>
      <c r="G21" s="1"/>
      <c r="H21" s="14"/>
      <c r="I21" s="1"/>
      <c r="J21" s="1"/>
      <c r="L21" s="17"/>
      <c r="M21" s="23"/>
      <c r="P21" s="27"/>
    </row>
    <row r="22" spans="3:13" ht="13.5">
      <c r="C22" s="7" t="s">
        <v>18</v>
      </c>
      <c r="D22" s="14"/>
      <c r="E22" s="1"/>
      <c r="F22" s="1"/>
      <c r="G22" s="1"/>
      <c r="H22" s="14"/>
      <c r="I22" s="1"/>
      <c r="J22" s="1"/>
      <c r="L22" s="17"/>
      <c r="M22" s="23"/>
    </row>
    <row r="23" spans="3:16" ht="13.5">
      <c r="C23" s="3" t="s">
        <v>10</v>
      </c>
      <c r="D23" s="15">
        <f>D13*0.3</f>
        <v>6405750</v>
      </c>
      <c r="E23" s="4">
        <f aca="true" t="shared" si="6" ref="E23:E28">D23/D13</f>
        <v>0.3</v>
      </c>
      <c r="F23" s="20">
        <f aca="true" t="shared" si="7" ref="F23:F29">D23/D$7</f>
        <v>108</v>
      </c>
      <c r="H23" s="15">
        <f>H13*0.3</f>
        <v>6349248</v>
      </c>
      <c r="I23" s="4">
        <f aca="true" t="shared" si="8" ref="I23:I28">H23/H13</f>
        <v>0.3</v>
      </c>
      <c r="J23" s="20">
        <f aca="true" t="shared" si="9" ref="J23:J29">H23/H$7</f>
        <v>108.72</v>
      </c>
      <c r="L23" s="15">
        <f t="shared" si="4"/>
        <v>56502</v>
      </c>
      <c r="M23" s="25">
        <f t="shared" si="5"/>
        <v>0.008899006622516557</v>
      </c>
      <c r="O23" t="s">
        <v>46</v>
      </c>
      <c r="P23" s="17">
        <f>L20-L64</f>
        <v>1027258.4334999956</v>
      </c>
    </row>
    <row r="24" spans="3:15" ht="13.5">
      <c r="C24" s="3" t="s">
        <v>11</v>
      </c>
      <c r="D24" s="15">
        <f>D14*0.21</f>
        <v>1943077.5</v>
      </c>
      <c r="E24" s="4">
        <f t="shared" si="6"/>
        <v>0.21</v>
      </c>
      <c r="F24" s="20">
        <f t="shared" si="7"/>
        <v>32.76</v>
      </c>
      <c r="H24" s="15">
        <f>H14*0.21</f>
        <v>1839600</v>
      </c>
      <c r="I24" s="4">
        <f t="shared" si="8"/>
        <v>0.21</v>
      </c>
      <c r="J24" s="20">
        <f t="shared" si="9"/>
        <v>31.5</v>
      </c>
      <c r="L24" s="15">
        <f t="shared" si="4"/>
        <v>103477.5</v>
      </c>
      <c r="M24" s="25">
        <f t="shared" si="5"/>
        <v>0.05625</v>
      </c>
      <c r="O24" t="s">
        <v>47</v>
      </c>
    </row>
    <row r="25" spans="3:16" ht="13.5">
      <c r="C25" s="3" t="s">
        <v>14</v>
      </c>
      <c r="D25" s="15">
        <f>D15*0.35</f>
        <v>525000</v>
      </c>
      <c r="E25" s="4">
        <f t="shared" si="6"/>
        <v>0.35</v>
      </c>
      <c r="F25" s="20">
        <f t="shared" si="7"/>
        <v>8.851422550052687</v>
      </c>
      <c r="H25" s="15">
        <f>H15*0.35</f>
        <v>450625</v>
      </c>
      <c r="I25" s="4">
        <f t="shared" si="8"/>
        <v>0.35</v>
      </c>
      <c r="J25" s="20">
        <f t="shared" si="9"/>
        <v>7.716181506849315</v>
      </c>
      <c r="L25" s="15">
        <f t="shared" si="4"/>
        <v>74375</v>
      </c>
      <c r="M25" s="25">
        <f t="shared" si="5"/>
        <v>0.1650485436893204</v>
      </c>
      <c r="O25" t="s">
        <v>48</v>
      </c>
      <c r="P25" s="17">
        <f>L20</f>
        <v>2296771.5</v>
      </c>
    </row>
    <row r="26" spans="3:16" ht="13.5">
      <c r="C26" s="3" t="s">
        <v>12</v>
      </c>
      <c r="D26" s="15">
        <f>D16*0.5</f>
        <v>397175</v>
      </c>
      <c r="E26" s="4">
        <f t="shared" si="6"/>
        <v>0.5</v>
      </c>
      <c r="F26" s="20">
        <f t="shared" si="7"/>
        <v>6.696311907270811</v>
      </c>
      <c r="H26" s="15">
        <f>H16*0.5</f>
        <v>360325</v>
      </c>
      <c r="I26" s="4">
        <f t="shared" si="8"/>
        <v>0.5</v>
      </c>
      <c r="J26" s="20">
        <f t="shared" si="9"/>
        <v>6.169948630136986</v>
      </c>
      <c r="L26" s="15">
        <f t="shared" si="4"/>
        <v>36850</v>
      </c>
      <c r="M26" s="25">
        <f t="shared" si="5"/>
        <v>0.10226878512454035</v>
      </c>
      <c r="P26" s="27">
        <f>P23/P25</f>
        <v>0.44726192113581853</v>
      </c>
    </row>
    <row r="27" spans="3:13" ht="13.5">
      <c r="C27" s="3" t="s">
        <v>13</v>
      </c>
      <c r="D27" s="15">
        <f>D17*0.4</f>
        <v>212216</v>
      </c>
      <c r="E27" s="4">
        <f t="shared" si="6"/>
        <v>0.4</v>
      </c>
      <c r="F27" s="20">
        <f t="shared" si="7"/>
        <v>3.5779304531085354</v>
      </c>
      <c r="H27" s="15">
        <f>H17*0.4</f>
        <v>195816</v>
      </c>
      <c r="I27" s="4">
        <f t="shared" si="8"/>
        <v>0.4</v>
      </c>
      <c r="J27" s="20">
        <f t="shared" si="9"/>
        <v>3.353013698630137</v>
      </c>
      <c r="L27" s="15">
        <f t="shared" si="4"/>
        <v>16400</v>
      </c>
      <c r="M27" s="25">
        <f t="shared" si="5"/>
        <v>0.08375209380234507</v>
      </c>
    </row>
    <row r="28" spans="3:16" ht="13.5">
      <c r="C28" s="3" t="s">
        <v>15</v>
      </c>
      <c r="D28" s="15">
        <f>D18*0.45</f>
        <v>1601437.5</v>
      </c>
      <c r="E28" s="4">
        <f t="shared" si="6"/>
        <v>0.45</v>
      </c>
      <c r="F28" s="20">
        <f t="shared" si="7"/>
        <v>27</v>
      </c>
      <c r="H28" s="15">
        <f>H18*0.47</f>
        <v>1624345.38</v>
      </c>
      <c r="I28" s="4">
        <f t="shared" si="8"/>
        <v>0.47</v>
      </c>
      <c r="J28" s="20">
        <f t="shared" si="9"/>
        <v>27.814133219178082</v>
      </c>
      <c r="L28" s="15">
        <f t="shared" si="4"/>
        <v>-22907.87999999989</v>
      </c>
      <c r="M28" s="25">
        <f t="shared" si="5"/>
        <v>-0.014102838153792078</v>
      </c>
      <c r="P28" s="27"/>
    </row>
    <row r="29" spans="3:15" ht="13.5">
      <c r="C29" s="5" t="s">
        <v>19</v>
      </c>
      <c r="D29" s="16">
        <f>SUM(D23:D28)</f>
        <v>11084656</v>
      </c>
      <c r="E29" s="6">
        <f>D29/D20</f>
        <v>0.14567310095437502</v>
      </c>
      <c r="F29" s="20">
        <f t="shared" si="7"/>
        <v>186.88566491043204</v>
      </c>
      <c r="H29" s="16">
        <f>SUM(H23:H28)</f>
        <v>10819959.379999999</v>
      </c>
      <c r="I29" s="6">
        <f>H29/H20</f>
        <v>0.14662005332978914</v>
      </c>
      <c r="J29" s="20">
        <f t="shared" si="9"/>
        <v>185.2732770547945</v>
      </c>
      <c r="L29" s="15">
        <f t="shared" si="4"/>
        <v>264696.62000000104</v>
      </c>
      <c r="M29" s="25">
        <f t="shared" si="5"/>
        <v>0.024463735093985268</v>
      </c>
      <c r="O29" s="23"/>
    </row>
    <row r="30" spans="4:15" ht="13.5">
      <c r="D30" s="17"/>
      <c r="H30" s="17"/>
      <c r="L30" s="17"/>
      <c r="M30" s="23"/>
      <c r="O30" s="23"/>
    </row>
    <row r="31" spans="3:13" ht="13.5">
      <c r="C31" s="7" t="s">
        <v>20</v>
      </c>
      <c r="D31" s="17"/>
      <c r="H31" s="17"/>
      <c r="L31" s="17"/>
      <c r="M31" s="23"/>
    </row>
    <row r="32" spans="3:13" ht="13.5">
      <c r="C32" s="3" t="s">
        <v>9</v>
      </c>
      <c r="D32" s="15">
        <f>D12*0.08</f>
        <v>3107975</v>
      </c>
      <c r="E32" s="4">
        <f>D32/D12</f>
        <v>0.08</v>
      </c>
      <c r="F32" s="20">
        <f aca="true" t="shared" si="10" ref="F32:F37">D32/D$7</f>
        <v>52.4</v>
      </c>
      <c r="H32" s="15">
        <f>H12*0.075</f>
        <v>2825100</v>
      </c>
      <c r="I32" s="4">
        <f>H32/H12</f>
        <v>0.075</v>
      </c>
      <c r="J32" s="20">
        <f aca="true" t="shared" si="11" ref="J32:J37">H32/H$7</f>
        <v>48.375</v>
      </c>
      <c r="L32" s="15">
        <f t="shared" si="4"/>
        <v>282875</v>
      </c>
      <c r="M32" s="25">
        <f t="shared" si="5"/>
        <v>0.10012919896640828</v>
      </c>
    </row>
    <row r="33" spans="3:13" ht="13.5">
      <c r="C33" s="3" t="s">
        <v>21</v>
      </c>
      <c r="D33" s="15">
        <f>(D13+D14)*0.23</f>
        <v>7039207.5</v>
      </c>
      <c r="E33" s="4">
        <f>D33/(D13+D14)</f>
        <v>0.23</v>
      </c>
      <c r="F33" s="20">
        <f t="shared" si="10"/>
        <v>118.68</v>
      </c>
      <c r="H33" s="15">
        <f>(H13+H14)*0.23</f>
        <v>6882556.800000001</v>
      </c>
      <c r="I33" s="4">
        <f>H33/(H13+H14)</f>
        <v>0.23000000000000004</v>
      </c>
      <c r="J33" s="20">
        <f t="shared" si="11"/>
        <v>117.85200000000002</v>
      </c>
      <c r="L33" s="15">
        <f t="shared" si="4"/>
        <v>156650.69999999925</v>
      </c>
      <c r="M33" s="25">
        <f t="shared" si="5"/>
        <v>0.022760538641686073</v>
      </c>
    </row>
    <row r="34" spans="3:13" ht="13.5">
      <c r="C34" s="3" t="s">
        <v>12</v>
      </c>
      <c r="D34" s="15">
        <f>D16*0.22</f>
        <v>174757</v>
      </c>
      <c r="E34" s="4">
        <f>D34/D16</f>
        <v>0.22</v>
      </c>
      <c r="F34" s="20">
        <f t="shared" si="10"/>
        <v>2.946377239199157</v>
      </c>
      <c r="H34" s="15">
        <f>H16*0.21</f>
        <v>151336.5</v>
      </c>
      <c r="I34" s="4">
        <f>H34/H16</f>
        <v>0.21</v>
      </c>
      <c r="J34" s="20">
        <f t="shared" si="11"/>
        <v>2.591378424657534</v>
      </c>
      <c r="L34" s="15">
        <f t="shared" si="4"/>
        <v>23420.5</v>
      </c>
      <c r="M34" s="25">
        <f t="shared" si="5"/>
        <v>0.1547577748923756</v>
      </c>
    </row>
    <row r="35" spans="3:13" ht="13.5">
      <c r="C35" s="3" t="s">
        <v>13</v>
      </c>
      <c r="D35" s="15">
        <f>D17*0.3</f>
        <v>159162</v>
      </c>
      <c r="E35" s="4">
        <f>D35/D17</f>
        <v>0.3</v>
      </c>
      <c r="F35" s="20">
        <f t="shared" si="10"/>
        <v>2.6834478398314014</v>
      </c>
      <c r="H35" s="15">
        <f>H17*0.29</f>
        <v>141966.59999999998</v>
      </c>
      <c r="I35" s="4">
        <f>H35/H17</f>
        <v>0.29</v>
      </c>
      <c r="J35" s="20">
        <f t="shared" si="11"/>
        <v>2.4309349315068487</v>
      </c>
      <c r="L35" s="15">
        <f t="shared" si="4"/>
        <v>17195.400000000023</v>
      </c>
      <c r="M35" s="25">
        <f t="shared" si="5"/>
        <v>0.12112285565759852</v>
      </c>
    </row>
    <row r="36" spans="3:13" ht="13.5">
      <c r="C36" s="3" t="s">
        <v>15</v>
      </c>
      <c r="D36" s="15">
        <f>D18*0.09</f>
        <v>320287.5</v>
      </c>
      <c r="E36" s="4">
        <f>D36/D18</f>
        <v>0.09</v>
      </c>
      <c r="F36" s="20">
        <f t="shared" si="10"/>
        <v>5.4</v>
      </c>
      <c r="H36" s="15">
        <f>H18*0.095</f>
        <v>328325.13</v>
      </c>
      <c r="I36" s="4">
        <f>H36/H18</f>
        <v>0.095</v>
      </c>
      <c r="J36" s="20">
        <f t="shared" si="11"/>
        <v>5.622005650684931</v>
      </c>
      <c r="L36" s="15">
        <f t="shared" si="4"/>
        <v>-8037.630000000005</v>
      </c>
      <c r="M36" s="25">
        <f t="shared" si="5"/>
        <v>-0.024480703015331187</v>
      </c>
    </row>
    <row r="37" spans="3:13" ht="13.5">
      <c r="C37" s="5" t="s">
        <v>22</v>
      </c>
      <c r="D37" s="16">
        <f>SUM(D32:D36)</f>
        <v>10801389</v>
      </c>
      <c r="E37" s="6">
        <f>D37/D20</f>
        <v>0.14195044304888452</v>
      </c>
      <c r="F37" s="20">
        <f t="shared" si="10"/>
        <v>182.10982507903057</v>
      </c>
      <c r="H37" s="16">
        <f>SUM(H32:H36)</f>
        <v>10329285.030000001</v>
      </c>
      <c r="I37" s="6">
        <f>H37/H20</f>
        <v>0.13997098036769087</v>
      </c>
      <c r="J37" s="20">
        <f t="shared" si="11"/>
        <v>176.87131900684935</v>
      </c>
      <c r="L37" s="15">
        <f t="shared" si="4"/>
        <v>472103.9699999988</v>
      </c>
      <c r="M37" s="25">
        <f t="shared" si="5"/>
        <v>0.04570538702619176</v>
      </c>
    </row>
    <row r="38" spans="4:13" ht="13.5">
      <c r="D38" s="17"/>
      <c r="E38" s="2"/>
      <c r="H38" s="17"/>
      <c r="I38" s="2"/>
      <c r="L38" s="17"/>
      <c r="M38" s="23"/>
    </row>
    <row r="39" spans="3:13" ht="13.5">
      <c r="C39" s="7" t="s">
        <v>23</v>
      </c>
      <c r="D39" s="17"/>
      <c r="E39" s="2"/>
      <c r="H39" s="17"/>
      <c r="I39" s="2"/>
      <c r="L39" s="17"/>
      <c r="M39" s="23"/>
    </row>
    <row r="40" spans="3:13" ht="13.5">
      <c r="C40" s="3" t="s">
        <v>9</v>
      </c>
      <c r="D40" s="15">
        <f>D12*0.114</f>
        <v>4428864.375</v>
      </c>
      <c r="E40" s="4">
        <f>D40/D12</f>
        <v>0.114</v>
      </c>
      <c r="F40" s="20">
        <f aca="true" t="shared" si="12" ref="F40:F46">D40/D$7</f>
        <v>74.67</v>
      </c>
      <c r="H40" s="15">
        <f>H12*0.116</f>
        <v>4369488</v>
      </c>
      <c r="I40" s="4">
        <f>H40/H12</f>
        <v>0.116</v>
      </c>
      <c r="J40" s="20">
        <f aca="true" t="shared" si="13" ref="J40:J46">H40/H$7</f>
        <v>74.82</v>
      </c>
      <c r="L40" s="15">
        <f t="shared" si="4"/>
        <v>59376.375</v>
      </c>
      <c r="M40" s="25">
        <f t="shared" si="5"/>
        <v>0.013588863271852446</v>
      </c>
    </row>
    <row r="41" spans="3:13" ht="13.5">
      <c r="C41" s="3" t="s">
        <v>21</v>
      </c>
      <c r="D41" s="15">
        <f>(D13+D14)*0.08</f>
        <v>2448420</v>
      </c>
      <c r="E41" s="4">
        <f>D41/(D13+D14+D15)</f>
        <v>0.0762622935501203</v>
      </c>
      <c r="F41" s="20">
        <f t="shared" si="12"/>
        <v>41.28</v>
      </c>
      <c r="H41" s="15">
        <f>(H13+H14)*0.09</f>
        <v>2693174.4</v>
      </c>
      <c r="I41" s="4">
        <f>H41/(H13+H14+H15)</f>
        <v>0.08628744514069421</v>
      </c>
      <c r="J41" s="20">
        <f t="shared" si="13"/>
        <v>46.116</v>
      </c>
      <c r="L41" s="15">
        <f t="shared" si="4"/>
        <v>-244754.3999999999</v>
      </c>
      <c r="M41" s="25">
        <f t="shared" si="5"/>
        <v>-0.09087952120739003</v>
      </c>
    </row>
    <row r="42" spans="3:13" ht="13.5">
      <c r="C42" s="3" t="s">
        <v>12</v>
      </c>
      <c r="D42" s="15">
        <f>D16*0.05</f>
        <v>39717.5</v>
      </c>
      <c r="E42" s="4">
        <f>D42/D16</f>
        <v>0.05</v>
      </c>
      <c r="F42" s="20">
        <f t="shared" si="12"/>
        <v>0.6696311907270811</v>
      </c>
      <c r="H42" s="15">
        <f>H16*0.055</f>
        <v>39635.75</v>
      </c>
      <c r="I42" s="4">
        <f>H42/H16</f>
        <v>0.055</v>
      </c>
      <c r="J42" s="20">
        <f t="shared" si="13"/>
        <v>0.6786943493150684</v>
      </c>
      <c r="L42" s="15">
        <f t="shared" si="4"/>
        <v>81.75</v>
      </c>
      <c r="M42" s="25">
        <f t="shared" si="5"/>
        <v>0.002062531931400314</v>
      </c>
    </row>
    <row r="43" spans="3:13" ht="13.5">
      <c r="C43" s="3" t="s">
        <v>13</v>
      </c>
      <c r="D43" s="15">
        <f>D17*0.11</f>
        <v>58359.4</v>
      </c>
      <c r="E43" s="4">
        <f>D43/D17</f>
        <v>0.11</v>
      </c>
      <c r="F43" s="20">
        <f t="shared" si="12"/>
        <v>0.9839308746048472</v>
      </c>
      <c r="H43" s="15">
        <f>H17*0.11</f>
        <v>53849.4</v>
      </c>
      <c r="I43" s="4">
        <f>H43/H17</f>
        <v>0.11</v>
      </c>
      <c r="J43" s="20">
        <f t="shared" si="13"/>
        <v>0.9220787671232877</v>
      </c>
      <c r="L43" s="15">
        <f t="shared" si="4"/>
        <v>4510</v>
      </c>
      <c r="M43" s="25">
        <f t="shared" si="5"/>
        <v>0.08375209380234505</v>
      </c>
    </row>
    <row r="44" spans="3:13" ht="13.5">
      <c r="C44" s="3" t="s">
        <v>15</v>
      </c>
      <c r="D44" s="15">
        <f>D18*0.05</f>
        <v>177937.5</v>
      </c>
      <c r="E44" s="4">
        <f>D44/D18</f>
        <v>0.05</v>
      </c>
      <c r="F44" s="20">
        <f t="shared" si="12"/>
        <v>3</v>
      </c>
      <c r="H44" s="15">
        <f>H18*0.05</f>
        <v>172802.7</v>
      </c>
      <c r="I44" s="4">
        <f>H44/H18</f>
        <v>0.05</v>
      </c>
      <c r="J44" s="20">
        <f t="shared" si="13"/>
        <v>2.9589503424657537</v>
      </c>
      <c r="L44" s="15">
        <f t="shared" si="4"/>
        <v>5134.799999999988</v>
      </c>
      <c r="M44" s="25">
        <f t="shared" si="5"/>
        <v>0.029714813483817024</v>
      </c>
    </row>
    <row r="45" spans="3:13" ht="13.5">
      <c r="C45" s="3" t="s">
        <v>30</v>
      </c>
      <c r="D45" s="15">
        <f>D19*0.04</f>
        <v>10163.92</v>
      </c>
      <c r="E45" s="4">
        <f>D45/D19</f>
        <v>0.04</v>
      </c>
      <c r="F45" s="20">
        <f t="shared" si="12"/>
        <v>0.17136219178082193</v>
      </c>
      <c r="H45" s="15">
        <f>H19*0.04</f>
        <v>10000</v>
      </c>
      <c r="I45" s="4">
        <f>H45/H19</f>
        <v>0.04</v>
      </c>
      <c r="J45" s="20">
        <f t="shared" si="13"/>
        <v>0.17123287671232876</v>
      </c>
      <c r="L45" s="15">
        <f t="shared" si="4"/>
        <v>163.92000000000007</v>
      </c>
      <c r="M45" s="25">
        <f t="shared" si="5"/>
        <v>0.016392000000000007</v>
      </c>
    </row>
    <row r="46" spans="3:13" ht="13.5">
      <c r="C46" s="5" t="s">
        <v>31</v>
      </c>
      <c r="D46" s="16">
        <f>SUM(D40:D45)</f>
        <v>7163462.695</v>
      </c>
      <c r="E46" s="6">
        <f>D46/D20</f>
        <v>0.09414129083948429</v>
      </c>
      <c r="F46" s="20">
        <f t="shared" si="12"/>
        <v>120.77492425711276</v>
      </c>
      <c r="H46" s="16">
        <f>SUM(H40:H45)</f>
        <v>7338950.250000001</v>
      </c>
      <c r="I46" s="6">
        <f>H46/H20</f>
        <v>0.0994492898955476</v>
      </c>
      <c r="J46" s="20">
        <f t="shared" si="13"/>
        <v>125.66695633561645</v>
      </c>
      <c r="L46" s="15">
        <f t="shared" si="4"/>
        <v>-175487.55500000063</v>
      </c>
      <c r="M46" s="25">
        <f t="shared" si="5"/>
        <v>-0.023911806051553575</v>
      </c>
    </row>
    <row r="47" spans="4:12" ht="13.5">
      <c r="D47" s="17"/>
      <c r="E47" s="2"/>
      <c r="H47" s="17"/>
      <c r="I47" s="2"/>
      <c r="L47" s="24"/>
    </row>
    <row r="48" spans="3:13" ht="13.5">
      <c r="C48" s="7" t="s">
        <v>29</v>
      </c>
      <c r="D48" s="17"/>
      <c r="E48" s="2"/>
      <c r="H48" s="17"/>
      <c r="I48" s="2"/>
      <c r="L48" s="17"/>
      <c r="M48" s="23"/>
    </row>
    <row r="49" spans="3:13" ht="13.5">
      <c r="C49" s="3" t="s">
        <v>9</v>
      </c>
      <c r="D49" s="15">
        <f>D12-D32-D40</f>
        <v>31312848.125</v>
      </c>
      <c r="E49" s="4">
        <f>D49/D12</f>
        <v>0.806</v>
      </c>
      <c r="F49" s="20">
        <f aca="true" t="shared" si="14" ref="F49:F55">D49/D$7</f>
        <v>527.93</v>
      </c>
      <c r="H49" s="15">
        <f>H12-H32-H40</f>
        <v>30473412</v>
      </c>
      <c r="I49" s="4">
        <f>H49/H12</f>
        <v>0.809</v>
      </c>
      <c r="J49" s="20">
        <f aca="true" t="shared" si="15" ref="J49:J55">H49/H$7</f>
        <v>521.805</v>
      </c>
      <c r="L49" s="15">
        <f t="shared" si="4"/>
        <v>839436.125</v>
      </c>
      <c r="M49" s="25">
        <f t="shared" si="5"/>
        <v>0.02754650923237608</v>
      </c>
    </row>
    <row r="50" spans="3:13" ht="13.5">
      <c r="C50" s="3" t="s">
        <v>21</v>
      </c>
      <c r="D50" s="15">
        <f>D13+D14-D23-D24-D33-D41+D15-D25</f>
        <v>13743795</v>
      </c>
      <c r="E50" s="4">
        <f>D50/(D13+D14+D15)</f>
        <v>0.42808559347770225</v>
      </c>
      <c r="F50" s="20">
        <f t="shared" si="14"/>
        <v>231.71835616438355</v>
      </c>
      <c r="H50" s="15">
        <f>H13+H14-H23-H24-H33-H41+H15-H25</f>
        <v>12996455.799999999</v>
      </c>
      <c r="I50" s="4">
        <f>H50/(H13+H14+H15)</f>
        <v>0.4163974553099707</v>
      </c>
      <c r="J50" s="20">
        <f t="shared" si="15"/>
        <v>222.542051369863</v>
      </c>
      <c r="L50" s="15">
        <f t="shared" si="4"/>
        <v>747339.2000000011</v>
      </c>
      <c r="M50" s="25">
        <f t="shared" si="5"/>
        <v>0.05750330794030794</v>
      </c>
    </row>
    <row r="51" spans="3:13" ht="13.5">
      <c r="C51" s="3" t="s">
        <v>12</v>
      </c>
      <c r="D51" s="15">
        <f>D16-D26-D34-D42</f>
        <v>182700.5</v>
      </c>
      <c r="E51" s="4">
        <f>D51/D16</f>
        <v>0.23</v>
      </c>
      <c r="F51" s="20">
        <f t="shared" si="14"/>
        <v>3.0803034773445734</v>
      </c>
      <c r="H51" s="15">
        <f>H16-H26-H34-H42</f>
        <v>169352.75</v>
      </c>
      <c r="I51" s="4">
        <f>H51/H16</f>
        <v>0.235</v>
      </c>
      <c r="J51" s="20">
        <f t="shared" si="15"/>
        <v>2.8998758561643836</v>
      </c>
      <c r="L51" s="15">
        <f t="shared" si="4"/>
        <v>13347.75</v>
      </c>
      <c r="M51" s="25">
        <f t="shared" si="5"/>
        <v>0.07881625778146502</v>
      </c>
    </row>
    <row r="52" spans="3:13" ht="13.5">
      <c r="C52" s="3" t="s">
        <v>13</v>
      </c>
      <c r="D52" s="15">
        <f>D17-D27-D35-D43</f>
        <v>100802.6</v>
      </c>
      <c r="E52" s="4">
        <f>D52/D17</f>
        <v>0.19</v>
      </c>
      <c r="F52" s="20">
        <f t="shared" si="14"/>
        <v>1.6995169652265543</v>
      </c>
      <c r="H52" s="15">
        <f>H17-H27-H35-H43</f>
        <v>97908.00000000003</v>
      </c>
      <c r="I52" s="4">
        <f>H52/H17</f>
        <v>0.20000000000000007</v>
      </c>
      <c r="J52" s="20">
        <f t="shared" si="15"/>
        <v>1.676506849315069</v>
      </c>
      <c r="L52" s="15">
        <f t="shared" si="4"/>
        <v>2894.5999999999767</v>
      </c>
      <c r="M52" s="25">
        <f t="shared" si="5"/>
        <v>0.02956448911222756</v>
      </c>
    </row>
    <row r="53" spans="3:13" ht="13.5">
      <c r="C53" s="3" t="s">
        <v>15</v>
      </c>
      <c r="D53" s="15">
        <f>D18-D28-D36-D44</f>
        <v>1459087.5</v>
      </c>
      <c r="E53" s="4">
        <f>D53/D18</f>
        <v>0.41</v>
      </c>
      <c r="F53" s="20">
        <f t="shared" si="14"/>
        <v>24.6</v>
      </c>
      <c r="H53" s="15">
        <f>H18-H28-H36-H44</f>
        <v>1330580.7900000003</v>
      </c>
      <c r="I53" s="4">
        <f>H53/H18</f>
        <v>0.38500000000000006</v>
      </c>
      <c r="J53" s="20">
        <f t="shared" si="15"/>
        <v>22.783917636986306</v>
      </c>
      <c r="L53" s="15">
        <f t="shared" si="4"/>
        <v>128506.70999999973</v>
      </c>
      <c r="M53" s="25">
        <f t="shared" si="5"/>
        <v>0.09657941176198681</v>
      </c>
    </row>
    <row r="54" spans="3:13" ht="13.5">
      <c r="C54" s="3" t="s">
        <v>30</v>
      </c>
      <c r="D54" s="15">
        <f>D19-D45</f>
        <v>243934.08</v>
      </c>
      <c r="E54" s="4">
        <f>D54/D19</f>
        <v>0.96</v>
      </c>
      <c r="F54" s="20">
        <f t="shared" si="14"/>
        <v>4.112692602739726</v>
      </c>
      <c r="H54" s="15">
        <f>H19-H45</f>
        <v>240000</v>
      </c>
      <c r="I54" s="4">
        <f>H54/H19</f>
        <v>0.96</v>
      </c>
      <c r="J54" s="20">
        <f t="shared" si="15"/>
        <v>4.109589041095891</v>
      </c>
      <c r="L54" s="15">
        <f t="shared" si="4"/>
        <v>3934.079999999987</v>
      </c>
      <c r="M54" s="25">
        <f t="shared" si="5"/>
        <v>0.01639199999999995</v>
      </c>
    </row>
    <row r="55" spans="3:13" ht="13.5">
      <c r="C55" s="5" t="s">
        <v>32</v>
      </c>
      <c r="D55" s="16">
        <f>SUM(D49:D54)</f>
        <v>47043167.805</v>
      </c>
      <c r="E55" s="6">
        <f>D55/D20</f>
        <v>0.6182351651572562</v>
      </c>
      <c r="F55" s="20">
        <f t="shared" si="14"/>
        <v>793.1408692096944</v>
      </c>
      <c r="H55" s="16">
        <f>SUM(H49:H54)</f>
        <v>45307709.339999996</v>
      </c>
      <c r="I55" s="6">
        <f>H55/H20</f>
        <v>0.6139596764069724</v>
      </c>
      <c r="J55" s="20">
        <f t="shared" si="15"/>
        <v>775.8169407534245</v>
      </c>
      <c r="L55" s="15">
        <f t="shared" si="4"/>
        <v>1735458.4650000036</v>
      </c>
      <c r="M55" s="25">
        <f t="shared" si="5"/>
        <v>0.03830382268890939</v>
      </c>
    </row>
    <row r="56" spans="4:13" ht="13.5">
      <c r="D56" s="17"/>
      <c r="E56" s="2"/>
      <c r="H56" s="17"/>
      <c r="I56" s="2"/>
      <c r="L56" s="17"/>
      <c r="M56" s="23"/>
    </row>
    <row r="57" spans="3:13" ht="13.5">
      <c r="C57" s="7" t="s">
        <v>24</v>
      </c>
      <c r="D57" s="17"/>
      <c r="E57" s="2"/>
      <c r="H57" s="17"/>
      <c r="I57" s="2"/>
      <c r="L57" s="17"/>
      <c r="M57" s="23"/>
    </row>
    <row r="58" spans="3:13" ht="13.5">
      <c r="C58" s="3" t="s">
        <v>25</v>
      </c>
      <c r="D58" s="12">
        <f>D20*0.05</f>
        <v>3804633.7750000004</v>
      </c>
      <c r="E58" s="4">
        <f>D58/D20</f>
        <v>0.05</v>
      </c>
      <c r="F58" s="20">
        <f>D58/D$7</f>
        <v>64.1455641728135</v>
      </c>
      <c r="H58" s="12">
        <f>H20*0.052</f>
        <v>3837387.008</v>
      </c>
      <c r="I58" s="4">
        <f>H58/H20</f>
        <v>0.052</v>
      </c>
      <c r="J58" s="20">
        <f>H58/H$7</f>
        <v>65.70868164383562</v>
      </c>
      <c r="L58" s="15">
        <f t="shared" si="4"/>
        <v>-32753.23299999954</v>
      </c>
      <c r="M58" s="25">
        <f t="shared" si="5"/>
        <v>-0.008535295744660932</v>
      </c>
    </row>
    <row r="59" spans="3:13" ht="13.5">
      <c r="C59" s="3" t="s">
        <v>26</v>
      </c>
      <c r="D59" s="12">
        <f>D20*0.06</f>
        <v>4565560.53</v>
      </c>
      <c r="E59" s="4">
        <f>D59/D$20</f>
        <v>0.060000000000000005</v>
      </c>
      <c r="F59" s="20">
        <f>D59/D$7</f>
        <v>76.97467700737619</v>
      </c>
      <c r="H59" s="12">
        <f>H20*0.059</f>
        <v>4353958.336</v>
      </c>
      <c r="I59" s="4">
        <f>H59/H$20</f>
        <v>0.059000000000000004</v>
      </c>
      <c r="J59" s="20">
        <f>H59/H$7</f>
        <v>74.55408109589041</v>
      </c>
      <c r="L59" s="15">
        <f t="shared" si="4"/>
        <v>211602.19400000013</v>
      </c>
      <c r="M59" s="25">
        <f t="shared" si="5"/>
        <v>0.04859995839886699</v>
      </c>
    </row>
    <row r="60" spans="3:13" ht="13.5">
      <c r="C60" s="3" t="s">
        <v>27</v>
      </c>
      <c r="D60" s="12">
        <f>D20*0.06</f>
        <v>4565560.53</v>
      </c>
      <c r="E60" s="4">
        <f>D60/D$20</f>
        <v>0.060000000000000005</v>
      </c>
      <c r="F60" s="20">
        <f>D60/D$7</f>
        <v>76.97467700737619</v>
      </c>
      <c r="H60" s="12">
        <f>H20*0.061</f>
        <v>4501550.144</v>
      </c>
      <c r="I60" s="4">
        <f>H60/H$20</f>
        <v>0.061000000000000006</v>
      </c>
      <c r="J60" s="20">
        <f>H60/H$7</f>
        <v>77.08133808219179</v>
      </c>
      <c r="L60" s="15">
        <f t="shared" si="4"/>
        <v>64010.38599999994</v>
      </c>
      <c r="M60" s="25">
        <f t="shared" si="5"/>
        <v>0.014219631893986059</v>
      </c>
    </row>
    <row r="61" spans="3:13" ht="13.5">
      <c r="C61" s="3" t="s">
        <v>28</v>
      </c>
      <c r="D61" s="12">
        <f>D20*0.065</f>
        <v>4946023.9075</v>
      </c>
      <c r="E61" s="4">
        <f>D61/D$20</f>
        <v>0.065</v>
      </c>
      <c r="F61" s="20">
        <f>D61/D$7</f>
        <v>83.38923342465753</v>
      </c>
      <c r="H61" s="12">
        <f>H20*0.064</f>
        <v>4722937.856</v>
      </c>
      <c r="I61" s="4">
        <f>H61/H$20</f>
        <v>0.064</v>
      </c>
      <c r="J61" s="20">
        <f>H61/H$7</f>
        <v>80.87222356164384</v>
      </c>
      <c r="L61" s="15">
        <f t="shared" si="4"/>
        <v>223086.05150000006</v>
      </c>
      <c r="M61" s="25">
        <f t="shared" si="5"/>
        <v>0.04723459386970178</v>
      </c>
    </row>
    <row r="62" spans="3:13" ht="13.5">
      <c r="C62" s="5" t="s">
        <v>33</v>
      </c>
      <c r="D62" s="13">
        <f>SUM(D58:D61)</f>
        <v>17881778.7425</v>
      </c>
      <c r="E62" s="4">
        <f>D62/D$20</f>
        <v>0.235</v>
      </c>
      <c r="F62" s="20">
        <f>D62/D$7</f>
        <v>301.4841516122234</v>
      </c>
      <c r="H62" s="13">
        <f>SUM(H58:H61)</f>
        <v>17415833.344</v>
      </c>
      <c r="I62" s="4">
        <f>H62/H$20</f>
        <v>0.23600000000000002</v>
      </c>
      <c r="J62" s="20">
        <f>H62/H$7</f>
        <v>298.21632438356164</v>
      </c>
      <c r="L62" s="15">
        <f t="shared" si="4"/>
        <v>465945.3984999992</v>
      </c>
      <c r="M62" s="25">
        <f t="shared" si="5"/>
        <v>0.026754125932223847</v>
      </c>
    </row>
    <row r="63" spans="4:13" ht="13.5">
      <c r="D63" s="17"/>
      <c r="E63" s="2"/>
      <c r="H63" s="17"/>
      <c r="I63" s="2"/>
      <c r="L63" s="17"/>
      <c r="M63" s="23"/>
    </row>
    <row r="64" spans="3:13" ht="13.5">
      <c r="C64" s="5" t="s">
        <v>34</v>
      </c>
      <c r="D64" s="16">
        <f>D55-D62</f>
        <v>29161389.0625</v>
      </c>
      <c r="E64" s="6">
        <f>D64/D20</f>
        <v>0.38323516515725614</v>
      </c>
      <c r="F64" s="20">
        <f>D64/D$7</f>
        <v>491.656717597471</v>
      </c>
      <c r="H64" s="16">
        <f>H55-H62</f>
        <v>27891875.995999996</v>
      </c>
      <c r="I64" s="6">
        <f>H64/H20</f>
        <v>0.3779596764069723</v>
      </c>
      <c r="J64" s="20">
        <f>H64/H$7</f>
        <v>477.60061636986296</v>
      </c>
      <c r="L64" s="15">
        <f t="shared" si="4"/>
        <v>1269513.0665000044</v>
      </c>
      <c r="M64" s="25">
        <f t="shared" si="5"/>
        <v>0.04551551378910715</v>
      </c>
    </row>
    <row r="65" ht="15" thickBot="1"/>
    <row r="66" spans="3:12" ht="15" thickBot="1">
      <c r="C66" s="28" t="s">
        <v>49</v>
      </c>
      <c r="D66" s="29"/>
      <c r="E66" s="29"/>
      <c r="F66" s="29"/>
      <c r="G66" s="29"/>
      <c r="H66" s="29"/>
      <c r="I66" s="29"/>
      <c r="J66" s="30"/>
      <c r="K66" s="29"/>
      <c r="L66" s="31">
        <f>L64/L20</f>
        <v>0.5527380788641815</v>
      </c>
    </row>
  </sheetData>
  <sheetProtection/>
  <mergeCells count="7">
    <mergeCell ref="C2:F2"/>
    <mergeCell ref="C3:F3"/>
    <mergeCell ref="C4:F4"/>
    <mergeCell ref="C1:F1"/>
    <mergeCell ref="H2:J2"/>
    <mergeCell ref="H3:J3"/>
    <mergeCell ref="H4:J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P66"/>
  <sheetViews>
    <sheetView zoomScale="125" zoomScaleNormal="125" workbookViewId="0" topLeftCell="E40">
      <selection activeCell="K66" sqref="K66"/>
    </sheetView>
  </sheetViews>
  <sheetFormatPr defaultColWidth="11.421875" defaultRowHeight="15"/>
  <cols>
    <col min="1" max="1" width="6.28125" style="0" customWidth="1"/>
    <col min="2" max="2" width="3.00390625" style="0" customWidth="1"/>
    <col min="3" max="3" width="26.421875" style="0" customWidth="1"/>
    <col min="4" max="4" width="14.7109375" style="0" customWidth="1"/>
    <col min="7" max="7" width="2.421875" style="0" customWidth="1"/>
    <col min="15" max="15" width="16.421875" style="0" customWidth="1"/>
  </cols>
  <sheetData>
    <row r="1" spans="3:6" ht="13.5">
      <c r="C1" s="37" t="s">
        <v>5</v>
      </c>
      <c r="D1" s="37"/>
      <c r="E1" s="37"/>
      <c r="F1" s="37"/>
    </row>
    <row r="2" spans="3:10" ht="13.5">
      <c r="C2" s="36" t="s">
        <v>35</v>
      </c>
      <c r="D2" s="36"/>
      <c r="E2" s="36"/>
      <c r="F2" s="36"/>
      <c r="H2" s="36"/>
      <c r="I2" s="36"/>
      <c r="J2" s="36"/>
    </row>
    <row r="3" spans="3:10" ht="13.5">
      <c r="C3" s="36" t="s">
        <v>7</v>
      </c>
      <c r="D3" s="36"/>
      <c r="E3" s="36"/>
      <c r="F3" s="36"/>
      <c r="H3" s="36"/>
      <c r="I3" s="36"/>
      <c r="J3" s="36"/>
    </row>
    <row r="4" spans="3:10" ht="13.5">
      <c r="C4" s="37" t="s">
        <v>6</v>
      </c>
      <c r="D4" s="37"/>
      <c r="E4" s="37"/>
      <c r="F4" s="37"/>
      <c r="H4" s="37"/>
      <c r="I4" s="37"/>
      <c r="J4" s="37"/>
    </row>
    <row r="5" spans="3:10" ht="13.5">
      <c r="C5" s="21"/>
      <c r="D5" s="21"/>
      <c r="E5" s="21"/>
      <c r="F5" s="21"/>
      <c r="H5" s="21"/>
      <c r="I5" s="21"/>
      <c r="J5" s="21"/>
    </row>
    <row r="6" spans="3:10" ht="13.5">
      <c r="C6" s="9" t="s">
        <v>1</v>
      </c>
      <c r="D6" s="11">
        <f>250*365</f>
        <v>91250</v>
      </c>
      <c r="E6" s="9"/>
      <c r="F6" s="21"/>
      <c r="H6" s="11">
        <f>250*365</f>
        <v>91250</v>
      </c>
      <c r="I6" s="9"/>
      <c r="J6" s="21"/>
    </row>
    <row r="7" spans="3:10" ht="13.5">
      <c r="C7" s="9" t="s">
        <v>38</v>
      </c>
      <c r="D7" s="19">
        <f>D6*0.65</f>
        <v>59312.5</v>
      </c>
      <c r="E7" s="9"/>
      <c r="F7" s="22">
        <f>D7*2</f>
        <v>118625</v>
      </c>
      <c r="H7" s="19">
        <f>H6*H8</f>
        <v>58400</v>
      </c>
      <c r="I7" s="9"/>
      <c r="J7" s="22">
        <f>H7*2</f>
        <v>116800</v>
      </c>
    </row>
    <row r="8" spans="3:10" ht="13.5">
      <c r="C8" s="9" t="s">
        <v>39</v>
      </c>
      <c r="D8" s="10">
        <v>0.65</v>
      </c>
      <c r="E8" s="9"/>
      <c r="F8" s="21"/>
      <c r="H8" s="10">
        <v>0.64</v>
      </c>
      <c r="I8" s="9"/>
      <c r="J8" s="21"/>
    </row>
    <row r="9" spans="3:10" ht="13.5">
      <c r="C9" s="9" t="s">
        <v>41</v>
      </c>
      <c r="D9" s="11">
        <f>655</f>
        <v>655</v>
      </c>
      <c r="E9" s="9"/>
      <c r="F9" s="21"/>
      <c r="H9" s="11">
        <v>645</v>
      </c>
      <c r="I9" s="9"/>
      <c r="J9" s="21"/>
    </row>
    <row r="10" spans="3:13" ht="13.5">
      <c r="C10" s="21"/>
      <c r="D10" s="34">
        <v>2013</v>
      </c>
      <c r="E10" s="21"/>
      <c r="F10" s="21"/>
      <c r="H10" s="34">
        <v>2012</v>
      </c>
      <c r="I10" s="21"/>
      <c r="J10" s="21"/>
      <c r="L10" t="s">
        <v>43</v>
      </c>
      <c r="M10" t="s">
        <v>43</v>
      </c>
    </row>
    <row r="11" spans="3:13" ht="13.5">
      <c r="C11" s="5" t="s">
        <v>8</v>
      </c>
      <c r="D11" s="18" t="s">
        <v>3</v>
      </c>
      <c r="E11" s="18" t="s">
        <v>2</v>
      </c>
      <c r="F11" s="3" t="s">
        <v>4</v>
      </c>
      <c r="H11" s="18" t="s">
        <v>3</v>
      </c>
      <c r="I11" s="18" t="s">
        <v>2</v>
      </c>
      <c r="J11" s="3" t="s">
        <v>4</v>
      </c>
      <c r="L11" s="21" t="s">
        <v>3</v>
      </c>
      <c r="M11" s="21" t="s">
        <v>2</v>
      </c>
    </row>
    <row r="12" spans="3:13" ht="13.5">
      <c r="C12" s="3" t="s">
        <v>9</v>
      </c>
      <c r="D12" s="12">
        <f>D9*D7</f>
        <v>38849687.5</v>
      </c>
      <c r="E12" s="4">
        <f>D12/D$20</f>
        <v>0.5105575174577742</v>
      </c>
      <c r="F12" s="20">
        <f>D12/D$7</f>
        <v>655</v>
      </c>
      <c r="G12" s="1"/>
      <c r="H12" s="12">
        <f>H9*H7</f>
        <v>37668000</v>
      </c>
      <c r="I12" s="4">
        <f>H12/H$20</f>
        <v>0.5104348338899677</v>
      </c>
      <c r="J12" s="20">
        <f>H12/H$7</f>
        <v>645</v>
      </c>
      <c r="L12" s="15">
        <f>D12-H12</f>
        <v>1181687.5</v>
      </c>
      <c r="M12" s="25">
        <f>L12/H12</f>
        <v>0.03137112403100775</v>
      </c>
    </row>
    <row r="13" spans="3:13" ht="13.5">
      <c r="C13" s="3" t="s">
        <v>10</v>
      </c>
      <c r="D13" s="12">
        <f>(F7*0.6)*300</f>
        <v>21352500</v>
      </c>
      <c r="E13" s="4">
        <f aca="true" t="shared" si="0" ref="E13:E19">D13/D$20</f>
        <v>0.2806117653203034</v>
      </c>
      <c r="F13" s="20">
        <f aca="true" t="shared" si="1" ref="F13:F20">D13/D$7</f>
        <v>360</v>
      </c>
      <c r="G13" s="1"/>
      <c r="H13" s="12">
        <f>(J7*0.6)*302</f>
        <v>21164160</v>
      </c>
      <c r="I13" s="4">
        <f aca="true" t="shared" si="2" ref="I13:I19">H13/H$20</f>
        <v>0.2867931531809679</v>
      </c>
      <c r="J13" s="20">
        <f aca="true" t="shared" si="3" ref="J13:J20">H13/H$7</f>
        <v>362.4</v>
      </c>
      <c r="L13" s="15">
        <f aca="true" t="shared" si="4" ref="L13:L64">D13-H13</f>
        <v>188340</v>
      </c>
      <c r="M13" s="25">
        <f aca="true" t="shared" si="5" ref="M13:M64">L13/H13</f>
        <v>0.008899006622516557</v>
      </c>
    </row>
    <row r="14" spans="3:16" ht="13.5">
      <c r="C14" s="3" t="s">
        <v>11</v>
      </c>
      <c r="D14" s="12">
        <f>(F7*0.6)*130</f>
        <v>9252750</v>
      </c>
      <c r="E14" s="4">
        <f t="shared" si="0"/>
        <v>0.12159843163879813</v>
      </c>
      <c r="F14" s="20">
        <f t="shared" si="1"/>
        <v>156</v>
      </c>
      <c r="G14" s="1"/>
      <c r="H14" s="12">
        <f>(J7*0.6)*125</f>
        <v>8760000</v>
      </c>
      <c r="I14" s="4">
        <f t="shared" si="2"/>
        <v>0.11870577532324829</v>
      </c>
      <c r="J14" s="20">
        <f t="shared" si="3"/>
        <v>150</v>
      </c>
      <c r="L14" s="15">
        <f t="shared" si="4"/>
        <v>492750</v>
      </c>
      <c r="M14" s="25">
        <f t="shared" si="5"/>
        <v>0.05625</v>
      </c>
      <c r="O14" t="s">
        <v>44</v>
      </c>
      <c r="P14" s="17">
        <f>L64</f>
        <v>536410.5665000044</v>
      </c>
    </row>
    <row r="15" spans="3:16" ht="13.5">
      <c r="C15" s="3" t="s">
        <v>14</v>
      </c>
      <c r="D15" s="12">
        <f>(50*250)*120</f>
        <v>1500000</v>
      </c>
      <c r="E15" s="4">
        <f t="shared" si="0"/>
        <v>0.01971280402671608</v>
      </c>
      <c r="F15" s="20">
        <f t="shared" si="1"/>
        <v>25.28977871443625</v>
      </c>
      <c r="G15" s="1"/>
      <c r="H15" s="12">
        <f>(50*250)*103</f>
        <v>1287500</v>
      </c>
      <c r="I15" s="4">
        <f t="shared" si="2"/>
        <v>0.017446767777246824</v>
      </c>
      <c r="J15" s="20">
        <f t="shared" si="3"/>
        <v>22.046232876712327</v>
      </c>
      <c r="L15" s="15">
        <f t="shared" si="4"/>
        <v>212500</v>
      </c>
      <c r="M15" s="25">
        <f t="shared" si="5"/>
        <v>0.1650485436893204</v>
      </c>
      <c r="O15" t="s">
        <v>45</v>
      </c>
      <c r="P15" s="17">
        <f>L20</f>
        <v>2296771.5</v>
      </c>
    </row>
    <row r="16" spans="3:16" ht="13.5">
      <c r="C16" s="3" t="s">
        <v>12</v>
      </c>
      <c r="D16" s="12">
        <v>794350</v>
      </c>
      <c r="E16" s="4">
        <f t="shared" si="0"/>
        <v>0.010439243919081279</v>
      </c>
      <c r="F16" s="20">
        <f t="shared" si="1"/>
        <v>13.392623814541622</v>
      </c>
      <c r="G16" s="1"/>
      <c r="H16" s="12">
        <v>720650</v>
      </c>
      <c r="I16" s="4">
        <f t="shared" si="2"/>
        <v>0.009765447144600328</v>
      </c>
      <c r="J16" s="20">
        <f t="shared" si="3"/>
        <v>12.339897260273972</v>
      </c>
      <c r="L16" s="15">
        <f t="shared" si="4"/>
        <v>73700</v>
      </c>
      <c r="M16" s="25">
        <f t="shared" si="5"/>
        <v>0.10226878512454035</v>
      </c>
      <c r="P16" s="26">
        <f>P14/P15</f>
        <v>0.23354981829929725</v>
      </c>
    </row>
    <row r="17" spans="3:13" ht="13.5">
      <c r="C17" s="3" t="s">
        <v>13</v>
      </c>
      <c r="D17" s="12">
        <v>530540</v>
      </c>
      <c r="E17" s="4">
        <f t="shared" si="0"/>
        <v>0.006972287365555966</v>
      </c>
      <c r="F17" s="20">
        <f t="shared" si="1"/>
        <v>8.944826132771338</v>
      </c>
      <c r="G17" s="1"/>
      <c r="H17" s="12">
        <v>489540</v>
      </c>
      <c r="I17" s="4">
        <f t="shared" si="2"/>
        <v>0.0066337015127560465</v>
      </c>
      <c r="J17" s="20">
        <f t="shared" si="3"/>
        <v>8.382534246575343</v>
      </c>
      <c r="L17" s="15">
        <f t="shared" si="4"/>
        <v>41000</v>
      </c>
      <c r="M17" s="25">
        <f t="shared" si="5"/>
        <v>0.08375209380234507</v>
      </c>
    </row>
    <row r="18" spans="3:16" ht="13.5">
      <c r="C18" s="3" t="s">
        <v>15</v>
      </c>
      <c r="D18" s="12">
        <f>F7*0.1*300</f>
        <v>3558750</v>
      </c>
      <c r="E18" s="4">
        <f t="shared" si="0"/>
        <v>0.0467686275533839</v>
      </c>
      <c r="F18" s="20">
        <f t="shared" si="1"/>
        <v>60</v>
      </c>
      <c r="G18" s="1"/>
      <c r="H18" s="12">
        <v>3456054</v>
      </c>
      <c r="I18" s="4">
        <f t="shared" si="2"/>
        <v>0.04683259927271844</v>
      </c>
      <c r="J18" s="20">
        <f t="shared" si="3"/>
        <v>59.179006849315066</v>
      </c>
      <c r="L18" s="15">
        <f t="shared" si="4"/>
        <v>102696</v>
      </c>
      <c r="M18" s="25">
        <f t="shared" si="5"/>
        <v>0.029714813483817094</v>
      </c>
      <c r="P18" s="17"/>
    </row>
    <row r="19" spans="3:13" ht="13.5">
      <c r="C19" s="3" t="s">
        <v>16</v>
      </c>
      <c r="D19" s="12">
        <v>254098</v>
      </c>
      <c r="E19" s="4">
        <f t="shared" si="0"/>
        <v>0.003339322718387002</v>
      </c>
      <c r="F19" s="20">
        <f t="shared" si="1"/>
        <v>4.284054794520548</v>
      </c>
      <c r="G19" s="1"/>
      <c r="H19" s="12">
        <v>250000</v>
      </c>
      <c r="I19" s="4">
        <f t="shared" si="2"/>
        <v>0.003387721898494529</v>
      </c>
      <c r="J19" s="20">
        <f t="shared" si="3"/>
        <v>4.280821917808219</v>
      </c>
      <c r="L19" s="15">
        <f t="shared" si="4"/>
        <v>4098</v>
      </c>
      <c r="M19" s="25">
        <f t="shared" si="5"/>
        <v>0.016392</v>
      </c>
    </row>
    <row r="20" spans="3:16" ht="13.5">
      <c r="C20" s="5" t="s">
        <v>17</v>
      </c>
      <c r="D20" s="13">
        <f>SUM(D12:D19)</f>
        <v>76092675.5</v>
      </c>
      <c r="E20" s="6">
        <f>D20/D20</f>
        <v>1</v>
      </c>
      <c r="F20" s="20">
        <f t="shared" si="1"/>
        <v>1282.9112834562698</v>
      </c>
      <c r="G20" s="1"/>
      <c r="H20" s="13">
        <f>SUM(H12:H19)</f>
        <v>73795904</v>
      </c>
      <c r="I20" s="6">
        <f>H20/H20</f>
        <v>1</v>
      </c>
      <c r="J20" s="20">
        <f t="shared" si="3"/>
        <v>1263.628493150685</v>
      </c>
      <c r="L20" s="15">
        <f t="shared" si="4"/>
        <v>2296771.5</v>
      </c>
      <c r="M20" s="25">
        <f t="shared" si="5"/>
        <v>0.031123292425552507</v>
      </c>
      <c r="P20" s="17"/>
    </row>
    <row r="21" spans="4:16" ht="13.5">
      <c r="D21" s="14"/>
      <c r="E21" s="1"/>
      <c r="F21" s="1"/>
      <c r="G21" s="1"/>
      <c r="H21" s="14"/>
      <c r="I21" s="1"/>
      <c r="J21" s="1"/>
      <c r="L21" s="17"/>
      <c r="M21" s="23"/>
      <c r="P21" s="27"/>
    </row>
    <row r="22" spans="3:13" ht="13.5">
      <c r="C22" s="7" t="s">
        <v>18</v>
      </c>
      <c r="D22" s="14"/>
      <c r="E22" s="1"/>
      <c r="F22" s="1"/>
      <c r="G22" s="1"/>
      <c r="H22" s="14"/>
      <c r="I22" s="1"/>
      <c r="J22" s="1"/>
      <c r="L22" s="17"/>
      <c r="M22" s="23"/>
    </row>
    <row r="23" spans="3:16" ht="13.5">
      <c r="C23" s="3" t="s">
        <v>10</v>
      </c>
      <c r="D23" s="32">
        <f>D13*0.33</f>
        <v>7046325</v>
      </c>
      <c r="E23" s="4">
        <f aca="true" t="shared" si="6" ref="E23:E28">D23/D13</f>
        <v>0.33</v>
      </c>
      <c r="F23" s="20">
        <f aca="true" t="shared" si="7" ref="F23:F29">D23/D$7</f>
        <v>118.8</v>
      </c>
      <c r="H23" s="15">
        <f>H13*0.3</f>
        <v>6349248</v>
      </c>
      <c r="I23" s="4">
        <f aca="true" t="shared" si="8" ref="I23:I28">H23/H13</f>
        <v>0.3</v>
      </c>
      <c r="J23" s="20">
        <f aca="true" t="shared" si="9" ref="J23:J29">H23/H$7</f>
        <v>108.72</v>
      </c>
      <c r="L23" s="15">
        <f t="shared" si="4"/>
        <v>697077</v>
      </c>
      <c r="M23" s="25">
        <f t="shared" si="5"/>
        <v>0.10978890728476821</v>
      </c>
      <c r="O23" t="s">
        <v>46</v>
      </c>
      <c r="P23" s="17">
        <f>L20-L64</f>
        <v>1760360.9334999956</v>
      </c>
    </row>
    <row r="24" spans="3:15" ht="13.5">
      <c r="C24" s="3" t="s">
        <v>11</v>
      </c>
      <c r="D24" s="15">
        <f>D14*0.22</f>
        <v>2035605</v>
      </c>
      <c r="E24" s="4">
        <f t="shared" si="6"/>
        <v>0.22</v>
      </c>
      <c r="F24" s="20">
        <f t="shared" si="7"/>
        <v>34.32</v>
      </c>
      <c r="H24" s="15">
        <f>H14*0.21</f>
        <v>1839600</v>
      </c>
      <c r="I24" s="4">
        <f t="shared" si="8"/>
        <v>0.21</v>
      </c>
      <c r="J24" s="20">
        <f t="shared" si="9"/>
        <v>31.5</v>
      </c>
      <c r="L24" s="15">
        <f t="shared" si="4"/>
        <v>196005</v>
      </c>
      <c r="M24" s="25">
        <f t="shared" si="5"/>
        <v>0.10654761904761904</v>
      </c>
      <c r="O24" t="s">
        <v>47</v>
      </c>
    </row>
    <row r="25" spans="3:16" ht="13.5">
      <c r="C25" s="3" t="s">
        <v>14</v>
      </c>
      <c r="D25" s="15">
        <f>D15*0.35</f>
        <v>525000</v>
      </c>
      <c r="E25" s="4">
        <f t="shared" si="6"/>
        <v>0.35</v>
      </c>
      <c r="F25" s="20">
        <f t="shared" si="7"/>
        <v>8.851422550052687</v>
      </c>
      <c r="H25" s="15">
        <f>H15*0.35</f>
        <v>450625</v>
      </c>
      <c r="I25" s="4">
        <f t="shared" si="8"/>
        <v>0.35</v>
      </c>
      <c r="J25" s="20">
        <f t="shared" si="9"/>
        <v>7.716181506849315</v>
      </c>
      <c r="L25" s="15">
        <f t="shared" si="4"/>
        <v>74375</v>
      </c>
      <c r="M25" s="25">
        <f t="shared" si="5"/>
        <v>0.1650485436893204</v>
      </c>
      <c r="O25" t="s">
        <v>48</v>
      </c>
      <c r="P25" s="17">
        <f>L20</f>
        <v>2296771.5</v>
      </c>
    </row>
    <row r="26" spans="3:16" ht="13.5">
      <c r="C26" s="3" t="s">
        <v>12</v>
      </c>
      <c r="D26" s="15">
        <f>D16*0.5</f>
        <v>397175</v>
      </c>
      <c r="E26" s="4">
        <f t="shared" si="6"/>
        <v>0.5</v>
      </c>
      <c r="F26" s="20">
        <f t="shared" si="7"/>
        <v>6.696311907270811</v>
      </c>
      <c r="H26" s="15">
        <f>H16*0.5</f>
        <v>360325</v>
      </c>
      <c r="I26" s="4">
        <f t="shared" si="8"/>
        <v>0.5</v>
      </c>
      <c r="J26" s="20">
        <f t="shared" si="9"/>
        <v>6.169948630136986</v>
      </c>
      <c r="L26" s="15">
        <f t="shared" si="4"/>
        <v>36850</v>
      </c>
      <c r="M26" s="25">
        <f t="shared" si="5"/>
        <v>0.10226878512454035</v>
      </c>
      <c r="P26" s="27">
        <f>P23/P25</f>
        <v>0.7664501817007028</v>
      </c>
    </row>
    <row r="27" spans="3:13" ht="13.5">
      <c r="C27" s="3" t="s">
        <v>13</v>
      </c>
      <c r="D27" s="15">
        <f>D17*0.4</f>
        <v>212216</v>
      </c>
      <c r="E27" s="4">
        <f t="shared" si="6"/>
        <v>0.4</v>
      </c>
      <c r="F27" s="20">
        <f t="shared" si="7"/>
        <v>3.5779304531085354</v>
      </c>
      <c r="H27" s="15">
        <f>H17*0.4</f>
        <v>195816</v>
      </c>
      <c r="I27" s="4">
        <f t="shared" si="8"/>
        <v>0.4</v>
      </c>
      <c r="J27" s="20">
        <f t="shared" si="9"/>
        <v>3.353013698630137</v>
      </c>
      <c r="L27" s="15">
        <f t="shared" si="4"/>
        <v>16400</v>
      </c>
      <c r="M27" s="25">
        <f t="shared" si="5"/>
        <v>0.08375209380234507</v>
      </c>
    </row>
    <row r="28" spans="3:16" ht="13.5">
      <c r="C28" s="3" t="s">
        <v>15</v>
      </c>
      <c r="D28" s="15">
        <f>D18*0.45</f>
        <v>1601437.5</v>
      </c>
      <c r="E28" s="4">
        <f t="shared" si="6"/>
        <v>0.45</v>
      </c>
      <c r="F28" s="20">
        <f t="shared" si="7"/>
        <v>27</v>
      </c>
      <c r="H28" s="15">
        <f>H18*0.47</f>
        <v>1624345.38</v>
      </c>
      <c r="I28" s="4">
        <f t="shared" si="8"/>
        <v>0.47</v>
      </c>
      <c r="J28" s="20">
        <f t="shared" si="9"/>
        <v>27.814133219178082</v>
      </c>
      <c r="L28" s="15">
        <f t="shared" si="4"/>
        <v>-22907.87999999989</v>
      </c>
      <c r="M28" s="25">
        <f t="shared" si="5"/>
        <v>-0.014102838153792078</v>
      </c>
      <c r="P28" s="27"/>
    </row>
    <row r="29" spans="3:15" ht="13.5">
      <c r="C29" s="5" t="s">
        <v>19</v>
      </c>
      <c r="D29" s="16">
        <f>SUM(D23:D28)</f>
        <v>11817758.5</v>
      </c>
      <c r="E29" s="6">
        <f>D29/D20</f>
        <v>0.15530743823037213</v>
      </c>
      <c r="F29" s="20">
        <f t="shared" si="7"/>
        <v>199.24566491043203</v>
      </c>
      <c r="H29" s="16">
        <f>SUM(H23:H28)</f>
        <v>10819959.379999999</v>
      </c>
      <c r="I29" s="6">
        <f>H29/H20</f>
        <v>0.14662005332978914</v>
      </c>
      <c r="J29" s="20">
        <f t="shared" si="9"/>
        <v>185.2732770547945</v>
      </c>
      <c r="L29" s="15">
        <f t="shared" si="4"/>
        <v>997799.120000001</v>
      </c>
      <c r="M29" s="25">
        <f t="shared" si="5"/>
        <v>0.09221837947417517</v>
      </c>
      <c r="O29" s="23"/>
    </row>
    <row r="30" spans="4:15" ht="13.5">
      <c r="D30" s="17"/>
      <c r="H30" s="17"/>
      <c r="L30" s="17"/>
      <c r="M30" s="23"/>
      <c r="O30" s="23"/>
    </row>
    <row r="31" spans="3:13" ht="13.5">
      <c r="C31" s="7" t="s">
        <v>20</v>
      </c>
      <c r="D31" s="17"/>
      <c r="H31" s="17"/>
      <c r="L31" s="17"/>
      <c r="M31" s="23"/>
    </row>
    <row r="32" spans="3:13" ht="13.5">
      <c r="C32" s="3" t="s">
        <v>9</v>
      </c>
      <c r="D32" s="15">
        <f>D12*0.08</f>
        <v>3107975</v>
      </c>
      <c r="E32" s="4">
        <f>D32/D12</f>
        <v>0.08</v>
      </c>
      <c r="F32" s="20">
        <f aca="true" t="shared" si="10" ref="F32:F37">D32/D$7</f>
        <v>52.4</v>
      </c>
      <c r="H32" s="15">
        <f>H12*0.075</f>
        <v>2825100</v>
      </c>
      <c r="I32" s="4">
        <f>H32/H12</f>
        <v>0.075</v>
      </c>
      <c r="J32" s="20">
        <f aca="true" t="shared" si="11" ref="J32:J37">H32/H$7</f>
        <v>48.375</v>
      </c>
      <c r="L32" s="15">
        <f t="shared" si="4"/>
        <v>282875</v>
      </c>
      <c r="M32" s="25">
        <f t="shared" si="5"/>
        <v>0.10012919896640828</v>
      </c>
    </row>
    <row r="33" spans="3:13" ht="13.5">
      <c r="C33" s="3" t="s">
        <v>21</v>
      </c>
      <c r="D33" s="15">
        <f>(D13+D14)*0.23</f>
        <v>7039207.5</v>
      </c>
      <c r="E33" s="4">
        <f>D33/(D13+D14)</f>
        <v>0.23</v>
      </c>
      <c r="F33" s="20">
        <f t="shared" si="10"/>
        <v>118.68</v>
      </c>
      <c r="H33" s="15">
        <f>(H13+H14)*0.23</f>
        <v>6882556.800000001</v>
      </c>
      <c r="I33" s="4">
        <f>H33/(H13+H14)</f>
        <v>0.23000000000000004</v>
      </c>
      <c r="J33" s="20">
        <f t="shared" si="11"/>
        <v>117.85200000000002</v>
      </c>
      <c r="L33" s="15">
        <f t="shared" si="4"/>
        <v>156650.69999999925</v>
      </c>
      <c r="M33" s="25">
        <f t="shared" si="5"/>
        <v>0.022760538641686073</v>
      </c>
    </row>
    <row r="34" spans="3:13" ht="13.5">
      <c r="C34" s="3" t="s">
        <v>12</v>
      </c>
      <c r="D34" s="15">
        <f>D16*0.22</f>
        <v>174757</v>
      </c>
      <c r="E34" s="4">
        <f>D34/D16</f>
        <v>0.22</v>
      </c>
      <c r="F34" s="20">
        <f t="shared" si="10"/>
        <v>2.946377239199157</v>
      </c>
      <c r="H34" s="15">
        <f>H16*0.21</f>
        <v>151336.5</v>
      </c>
      <c r="I34" s="4">
        <f>H34/H16</f>
        <v>0.21</v>
      </c>
      <c r="J34" s="20">
        <f t="shared" si="11"/>
        <v>2.591378424657534</v>
      </c>
      <c r="L34" s="15">
        <f t="shared" si="4"/>
        <v>23420.5</v>
      </c>
      <c r="M34" s="25">
        <f t="shared" si="5"/>
        <v>0.1547577748923756</v>
      </c>
    </row>
    <row r="35" spans="3:13" ht="13.5">
      <c r="C35" s="3" t="s">
        <v>13</v>
      </c>
      <c r="D35" s="15">
        <f>D17*0.3</f>
        <v>159162</v>
      </c>
      <c r="E35" s="4">
        <f>D35/D17</f>
        <v>0.3</v>
      </c>
      <c r="F35" s="20">
        <f t="shared" si="10"/>
        <v>2.6834478398314014</v>
      </c>
      <c r="H35" s="15">
        <f>H17*0.29</f>
        <v>141966.59999999998</v>
      </c>
      <c r="I35" s="4">
        <f>H35/H17</f>
        <v>0.29</v>
      </c>
      <c r="J35" s="20">
        <f t="shared" si="11"/>
        <v>2.4309349315068487</v>
      </c>
      <c r="L35" s="15">
        <f t="shared" si="4"/>
        <v>17195.400000000023</v>
      </c>
      <c r="M35" s="25">
        <f t="shared" si="5"/>
        <v>0.12112285565759852</v>
      </c>
    </row>
    <row r="36" spans="3:13" ht="13.5">
      <c r="C36" s="3" t="s">
        <v>15</v>
      </c>
      <c r="D36" s="15">
        <f>D18*0.09</f>
        <v>320287.5</v>
      </c>
      <c r="E36" s="4">
        <f>D36/D18</f>
        <v>0.09</v>
      </c>
      <c r="F36" s="20">
        <f t="shared" si="10"/>
        <v>5.4</v>
      </c>
      <c r="H36" s="15">
        <f>H18*0.095</f>
        <v>328325.13</v>
      </c>
      <c r="I36" s="4">
        <f>H36/H18</f>
        <v>0.095</v>
      </c>
      <c r="J36" s="20">
        <f t="shared" si="11"/>
        <v>5.622005650684931</v>
      </c>
      <c r="L36" s="15">
        <f t="shared" si="4"/>
        <v>-8037.630000000005</v>
      </c>
      <c r="M36" s="25">
        <f t="shared" si="5"/>
        <v>-0.024480703015331187</v>
      </c>
    </row>
    <row r="37" spans="3:13" ht="13.5">
      <c r="C37" s="5" t="s">
        <v>22</v>
      </c>
      <c r="D37" s="16">
        <f>SUM(D32:D36)</f>
        <v>10801389</v>
      </c>
      <c r="E37" s="6">
        <f>D37/D20</f>
        <v>0.14195044304888452</v>
      </c>
      <c r="F37" s="20">
        <f t="shared" si="10"/>
        <v>182.10982507903057</v>
      </c>
      <c r="H37" s="16">
        <f>SUM(H32:H36)</f>
        <v>10329285.030000001</v>
      </c>
      <c r="I37" s="6">
        <f>H37/H20</f>
        <v>0.13997098036769087</v>
      </c>
      <c r="J37" s="20">
        <f t="shared" si="11"/>
        <v>176.87131900684935</v>
      </c>
      <c r="L37" s="15">
        <f t="shared" si="4"/>
        <v>472103.9699999988</v>
      </c>
      <c r="M37" s="25">
        <f t="shared" si="5"/>
        <v>0.04570538702619176</v>
      </c>
    </row>
    <row r="38" spans="4:13" ht="13.5">
      <c r="D38" s="17"/>
      <c r="E38" s="2"/>
      <c r="H38" s="17"/>
      <c r="I38" s="2"/>
      <c r="L38" s="17"/>
      <c r="M38" s="23"/>
    </row>
    <row r="39" spans="3:13" ht="13.5">
      <c r="C39" s="7" t="s">
        <v>23</v>
      </c>
      <c r="D39" s="17"/>
      <c r="E39" s="2"/>
      <c r="H39" s="17"/>
      <c r="I39" s="2"/>
      <c r="L39" s="17"/>
      <c r="M39" s="23"/>
    </row>
    <row r="40" spans="3:13" ht="13.5">
      <c r="C40" s="3" t="s">
        <v>9</v>
      </c>
      <c r="D40" s="15">
        <f>D12*0.114</f>
        <v>4428864.375</v>
      </c>
      <c r="E40" s="4">
        <f>D40/D12</f>
        <v>0.114</v>
      </c>
      <c r="F40" s="20">
        <f aca="true" t="shared" si="12" ref="F40:F46">D40/D$7</f>
        <v>74.67</v>
      </c>
      <c r="H40" s="15">
        <f>H12*0.116</f>
        <v>4369488</v>
      </c>
      <c r="I40" s="4">
        <f>H40/H12</f>
        <v>0.116</v>
      </c>
      <c r="J40" s="20">
        <f aca="true" t="shared" si="13" ref="J40:J46">H40/H$7</f>
        <v>74.82</v>
      </c>
      <c r="L40" s="15">
        <f t="shared" si="4"/>
        <v>59376.375</v>
      </c>
      <c r="M40" s="25">
        <f t="shared" si="5"/>
        <v>0.013588863271852446</v>
      </c>
    </row>
    <row r="41" spans="3:13" ht="13.5">
      <c r="C41" s="3" t="s">
        <v>21</v>
      </c>
      <c r="D41" s="15">
        <f>(D13+D14)*0.08</f>
        <v>2448420</v>
      </c>
      <c r="E41" s="4">
        <f>D41/(D13+D14+D15)</f>
        <v>0.0762622935501203</v>
      </c>
      <c r="F41" s="20">
        <f t="shared" si="12"/>
        <v>41.28</v>
      </c>
      <c r="H41" s="15">
        <f>(H13+H14)*0.09</f>
        <v>2693174.4</v>
      </c>
      <c r="I41" s="4">
        <f>H41/(H13+H14+H15)</f>
        <v>0.08628744514069421</v>
      </c>
      <c r="J41" s="20">
        <f t="shared" si="13"/>
        <v>46.116</v>
      </c>
      <c r="L41" s="15">
        <f t="shared" si="4"/>
        <v>-244754.3999999999</v>
      </c>
      <c r="M41" s="25">
        <f t="shared" si="5"/>
        <v>-0.09087952120739003</v>
      </c>
    </row>
    <row r="42" spans="3:13" ht="13.5">
      <c r="C42" s="3" t="s">
        <v>12</v>
      </c>
      <c r="D42" s="15">
        <f>D16*0.05</f>
        <v>39717.5</v>
      </c>
      <c r="E42" s="4">
        <f>D42/D16</f>
        <v>0.05</v>
      </c>
      <c r="F42" s="20">
        <f t="shared" si="12"/>
        <v>0.6696311907270811</v>
      </c>
      <c r="H42" s="15">
        <f>H16*0.055</f>
        <v>39635.75</v>
      </c>
      <c r="I42" s="4">
        <f>H42/H16</f>
        <v>0.055</v>
      </c>
      <c r="J42" s="20">
        <f t="shared" si="13"/>
        <v>0.6786943493150684</v>
      </c>
      <c r="L42" s="15">
        <f t="shared" si="4"/>
        <v>81.75</v>
      </c>
      <c r="M42" s="25">
        <f t="shared" si="5"/>
        <v>0.002062531931400314</v>
      </c>
    </row>
    <row r="43" spans="3:13" ht="13.5">
      <c r="C43" s="3" t="s">
        <v>13</v>
      </c>
      <c r="D43" s="15">
        <f>D17*0.11</f>
        <v>58359.4</v>
      </c>
      <c r="E43" s="4">
        <f>D43/D17</f>
        <v>0.11</v>
      </c>
      <c r="F43" s="20">
        <f t="shared" si="12"/>
        <v>0.9839308746048472</v>
      </c>
      <c r="H43" s="15">
        <f>H17*0.11</f>
        <v>53849.4</v>
      </c>
      <c r="I43" s="4">
        <f>H43/H17</f>
        <v>0.11</v>
      </c>
      <c r="J43" s="20">
        <f t="shared" si="13"/>
        <v>0.9220787671232877</v>
      </c>
      <c r="L43" s="15">
        <f t="shared" si="4"/>
        <v>4510</v>
      </c>
      <c r="M43" s="25">
        <f t="shared" si="5"/>
        <v>0.08375209380234505</v>
      </c>
    </row>
    <row r="44" spans="3:13" ht="13.5">
      <c r="C44" s="3" t="s">
        <v>15</v>
      </c>
      <c r="D44" s="15">
        <f>D18*0.05</f>
        <v>177937.5</v>
      </c>
      <c r="E44" s="4">
        <f>D44/D18</f>
        <v>0.05</v>
      </c>
      <c r="F44" s="20">
        <f t="shared" si="12"/>
        <v>3</v>
      </c>
      <c r="H44" s="15">
        <f>H18*0.05</f>
        <v>172802.7</v>
      </c>
      <c r="I44" s="4">
        <f>H44/H18</f>
        <v>0.05</v>
      </c>
      <c r="J44" s="20">
        <f t="shared" si="13"/>
        <v>2.9589503424657537</v>
      </c>
      <c r="L44" s="15">
        <f t="shared" si="4"/>
        <v>5134.799999999988</v>
      </c>
      <c r="M44" s="25">
        <f t="shared" si="5"/>
        <v>0.029714813483817024</v>
      </c>
    </row>
    <row r="45" spans="3:13" ht="13.5">
      <c r="C45" s="3" t="s">
        <v>30</v>
      </c>
      <c r="D45" s="15">
        <f>D19*0.04</f>
        <v>10163.92</v>
      </c>
      <c r="E45" s="4">
        <f>D45/D19</f>
        <v>0.04</v>
      </c>
      <c r="F45" s="20">
        <f t="shared" si="12"/>
        <v>0.17136219178082193</v>
      </c>
      <c r="H45" s="15">
        <f>H19*0.04</f>
        <v>10000</v>
      </c>
      <c r="I45" s="4">
        <f>H45/H19</f>
        <v>0.04</v>
      </c>
      <c r="J45" s="20">
        <f t="shared" si="13"/>
        <v>0.17123287671232876</v>
      </c>
      <c r="L45" s="15">
        <f t="shared" si="4"/>
        <v>163.92000000000007</v>
      </c>
      <c r="M45" s="25">
        <f t="shared" si="5"/>
        <v>0.016392000000000007</v>
      </c>
    </row>
    <row r="46" spans="3:13" ht="13.5">
      <c r="C46" s="5" t="s">
        <v>31</v>
      </c>
      <c r="D46" s="16">
        <f>SUM(D40:D45)</f>
        <v>7163462.695</v>
      </c>
      <c r="E46" s="6">
        <f>D46/D20</f>
        <v>0.09414129083948429</v>
      </c>
      <c r="F46" s="20">
        <f t="shared" si="12"/>
        <v>120.77492425711276</v>
      </c>
      <c r="H46" s="16">
        <f>SUM(H40:H45)</f>
        <v>7338950.250000001</v>
      </c>
      <c r="I46" s="6">
        <f>H46/H20</f>
        <v>0.0994492898955476</v>
      </c>
      <c r="J46" s="20">
        <f t="shared" si="13"/>
        <v>125.66695633561645</v>
      </c>
      <c r="L46" s="15">
        <f t="shared" si="4"/>
        <v>-175487.55500000063</v>
      </c>
      <c r="M46" s="25">
        <f t="shared" si="5"/>
        <v>-0.023911806051553575</v>
      </c>
    </row>
    <row r="47" spans="4:12" ht="13.5">
      <c r="D47" s="17"/>
      <c r="E47" s="2"/>
      <c r="H47" s="17"/>
      <c r="I47" s="2"/>
      <c r="L47" s="24"/>
    </row>
    <row r="48" spans="3:13" ht="13.5">
      <c r="C48" s="7" t="s">
        <v>29</v>
      </c>
      <c r="D48" s="17"/>
      <c r="E48" s="2"/>
      <c r="H48" s="17"/>
      <c r="I48" s="2"/>
      <c r="L48" s="17"/>
      <c r="M48" s="23"/>
    </row>
    <row r="49" spans="3:13" ht="13.5">
      <c r="C49" s="3" t="s">
        <v>9</v>
      </c>
      <c r="D49" s="15">
        <f>D12-D32-D40</f>
        <v>31312848.125</v>
      </c>
      <c r="E49" s="4">
        <f>D49/D12</f>
        <v>0.806</v>
      </c>
      <c r="F49" s="20">
        <f aca="true" t="shared" si="14" ref="F49:F55">D49/D$7</f>
        <v>527.93</v>
      </c>
      <c r="H49" s="15">
        <f>H12-H32-H40</f>
        <v>30473412</v>
      </c>
      <c r="I49" s="4">
        <f>H49/H12</f>
        <v>0.809</v>
      </c>
      <c r="J49" s="20">
        <f aca="true" t="shared" si="15" ref="J49:J55">H49/H$7</f>
        <v>521.805</v>
      </c>
      <c r="L49" s="15">
        <f t="shared" si="4"/>
        <v>839436.125</v>
      </c>
      <c r="M49" s="25">
        <f t="shared" si="5"/>
        <v>0.02754650923237608</v>
      </c>
    </row>
    <row r="50" spans="3:13" ht="13.5">
      <c r="C50" s="3" t="s">
        <v>21</v>
      </c>
      <c r="D50" s="15">
        <f>D13+D14-D23-D24-D33-D41+D15-D25</f>
        <v>13010692.5</v>
      </c>
      <c r="E50" s="4">
        <f>D50/(D13+D14+D15)</f>
        <v>0.40525124395542783</v>
      </c>
      <c r="F50" s="20">
        <f t="shared" si="14"/>
        <v>219.35835616438357</v>
      </c>
      <c r="H50" s="15">
        <f>H13+H14-H23-H24-H33-H41+H15-H25</f>
        <v>12996455.799999999</v>
      </c>
      <c r="I50" s="4">
        <f>H50/(H13+H14+H15)</f>
        <v>0.4163974553099707</v>
      </c>
      <c r="J50" s="20">
        <f t="shared" si="15"/>
        <v>222.542051369863</v>
      </c>
      <c r="L50" s="15">
        <f t="shared" si="4"/>
        <v>14236.700000001118</v>
      </c>
      <c r="M50" s="25">
        <f t="shared" si="5"/>
        <v>0.0010954294169954488</v>
      </c>
    </row>
    <row r="51" spans="3:13" ht="13.5">
      <c r="C51" s="3" t="s">
        <v>12</v>
      </c>
      <c r="D51" s="15">
        <f>D16-D26-D34-D42</f>
        <v>182700.5</v>
      </c>
      <c r="E51" s="4">
        <f>D51/D16</f>
        <v>0.23</v>
      </c>
      <c r="F51" s="20">
        <f t="shared" si="14"/>
        <v>3.0803034773445734</v>
      </c>
      <c r="H51" s="15">
        <f>H16-H26-H34-H42</f>
        <v>169352.75</v>
      </c>
      <c r="I51" s="4">
        <f>H51/H16</f>
        <v>0.235</v>
      </c>
      <c r="J51" s="20">
        <f t="shared" si="15"/>
        <v>2.8998758561643836</v>
      </c>
      <c r="L51" s="15">
        <f t="shared" si="4"/>
        <v>13347.75</v>
      </c>
      <c r="M51" s="25">
        <f t="shared" si="5"/>
        <v>0.07881625778146502</v>
      </c>
    </row>
    <row r="52" spans="3:13" ht="13.5">
      <c r="C52" s="3" t="s">
        <v>13</v>
      </c>
      <c r="D52" s="15">
        <f>D17-D27-D35-D43</f>
        <v>100802.6</v>
      </c>
      <c r="E52" s="4">
        <f>D52/D17</f>
        <v>0.19</v>
      </c>
      <c r="F52" s="20">
        <f t="shared" si="14"/>
        <v>1.6995169652265543</v>
      </c>
      <c r="H52" s="15">
        <f>H17-H27-H35-H43</f>
        <v>97908.00000000003</v>
      </c>
      <c r="I52" s="4">
        <f>H52/H17</f>
        <v>0.20000000000000007</v>
      </c>
      <c r="J52" s="20">
        <f t="shared" si="15"/>
        <v>1.676506849315069</v>
      </c>
      <c r="L52" s="15">
        <f t="shared" si="4"/>
        <v>2894.5999999999767</v>
      </c>
      <c r="M52" s="25">
        <f t="shared" si="5"/>
        <v>0.02956448911222756</v>
      </c>
    </row>
    <row r="53" spans="3:13" ht="13.5">
      <c r="C53" s="3" t="s">
        <v>15</v>
      </c>
      <c r="D53" s="15">
        <f>D18-D28-D36-D44</f>
        <v>1459087.5</v>
      </c>
      <c r="E53" s="4">
        <f>D53/D18</f>
        <v>0.41</v>
      </c>
      <c r="F53" s="20">
        <f t="shared" si="14"/>
        <v>24.6</v>
      </c>
      <c r="H53" s="15">
        <f>H18-H28-H36-H44</f>
        <v>1330580.7900000003</v>
      </c>
      <c r="I53" s="4">
        <f>H53/H18</f>
        <v>0.38500000000000006</v>
      </c>
      <c r="J53" s="20">
        <f t="shared" si="15"/>
        <v>22.783917636986306</v>
      </c>
      <c r="L53" s="15">
        <f t="shared" si="4"/>
        <v>128506.70999999973</v>
      </c>
      <c r="M53" s="25">
        <f t="shared" si="5"/>
        <v>0.09657941176198681</v>
      </c>
    </row>
    <row r="54" spans="3:13" ht="13.5">
      <c r="C54" s="3" t="s">
        <v>30</v>
      </c>
      <c r="D54" s="15">
        <f>D19-D45</f>
        <v>243934.08</v>
      </c>
      <c r="E54" s="4">
        <f>D54/D19</f>
        <v>0.96</v>
      </c>
      <c r="F54" s="20">
        <f t="shared" si="14"/>
        <v>4.112692602739726</v>
      </c>
      <c r="H54" s="15">
        <f>H19-H45</f>
        <v>240000</v>
      </c>
      <c r="I54" s="4">
        <f>H54/H19</f>
        <v>0.96</v>
      </c>
      <c r="J54" s="20">
        <f t="shared" si="15"/>
        <v>4.109589041095891</v>
      </c>
      <c r="L54" s="15">
        <f t="shared" si="4"/>
        <v>3934.079999999987</v>
      </c>
      <c r="M54" s="25">
        <f t="shared" si="5"/>
        <v>0.01639199999999995</v>
      </c>
    </row>
    <row r="55" spans="3:13" ht="13.5">
      <c r="C55" s="5" t="s">
        <v>32</v>
      </c>
      <c r="D55" s="16">
        <f>SUM(D49:D54)</f>
        <v>46310065.305</v>
      </c>
      <c r="E55" s="6">
        <f>D55/D20</f>
        <v>0.6086008278812591</v>
      </c>
      <c r="F55" s="20">
        <f t="shared" si="14"/>
        <v>780.7808692096944</v>
      </c>
      <c r="H55" s="16">
        <f>SUM(H49:H54)</f>
        <v>45307709.339999996</v>
      </c>
      <c r="I55" s="6">
        <f>H55/H20</f>
        <v>0.6139596764069724</v>
      </c>
      <c r="J55" s="20">
        <f t="shared" si="15"/>
        <v>775.8169407534245</v>
      </c>
      <c r="L55" s="15">
        <f t="shared" si="4"/>
        <v>1002355.9650000036</v>
      </c>
      <c r="M55" s="25">
        <f t="shared" si="5"/>
        <v>0.022123298211306208</v>
      </c>
    </row>
    <row r="56" spans="4:13" ht="13.5">
      <c r="D56" s="17"/>
      <c r="E56" s="2"/>
      <c r="H56" s="17"/>
      <c r="I56" s="2"/>
      <c r="L56" s="17"/>
      <c r="M56" s="23"/>
    </row>
    <row r="57" spans="3:13" ht="13.5">
      <c r="C57" s="7" t="s">
        <v>24</v>
      </c>
      <c r="D57" s="17"/>
      <c r="E57" s="2"/>
      <c r="H57" s="17"/>
      <c r="I57" s="2"/>
      <c r="L57" s="17"/>
      <c r="M57" s="23"/>
    </row>
    <row r="58" spans="3:13" ht="13.5">
      <c r="C58" s="3" t="s">
        <v>25</v>
      </c>
      <c r="D58" s="35">
        <f>'EDO RESULTADOS'!A44+'EDO RESULTADOS'!D58</f>
        <v>3804633.7750000004</v>
      </c>
      <c r="E58" s="4">
        <f>D58/D20</f>
        <v>0.05</v>
      </c>
      <c r="F58" s="20">
        <f>D58/D$7</f>
        <v>64.1455641728135</v>
      </c>
      <c r="H58" s="12">
        <f>H20*0.052</f>
        <v>3837387.008</v>
      </c>
      <c r="I58" s="4">
        <f>H58/H20</f>
        <v>0.052</v>
      </c>
      <c r="J58" s="20">
        <f>H58/H$7</f>
        <v>65.70868164383562</v>
      </c>
      <c r="L58" s="15">
        <f t="shared" si="4"/>
        <v>-32753.23299999954</v>
      </c>
      <c r="M58" s="25">
        <f t="shared" si="5"/>
        <v>-0.008535295744660932</v>
      </c>
    </row>
    <row r="59" spans="3:13" ht="13.5">
      <c r="C59" s="3" t="s">
        <v>26</v>
      </c>
      <c r="D59" s="12">
        <f>D20*0.06</f>
        <v>4565560.53</v>
      </c>
      <c r="E59" s="4">
        <f>D59/D$20</f>
        <v>0.060000000000000005</v>
      </c>
      <c r="F59" s="20">
        <f>D59/D$7</f>
        <v>76.97467700737619</v>
      </c>
      <c r="H59" s="12">
        <f>H20*0.059</f>
        <v>4353958.336</v>
      </c>
      <c r="I59" s="4">
        <f>H59/H$20</f>
        <v>0.059000000000000004</v>
      </c>
      <c r="J59" s="20">
        <f>H59/H$7</f>
        <v>74.55408109589041</v>
      </c>
      <c r="L59" s="15">
        <f t="shared" si="4"/>
        <v>211602.19400000013</v>
      </c>
      <c r="M59" s="25">
        <f t="shared" si="5"/>
        <v>0.04859995839886699</v>
      </c>
    </row>
    <row r="60" spans="3:13" ht="13.5">
      <c r="C60" s="3" t="s">
        <v>27</v>
      </c>
      <c r="D60" s="12">
        <f>D20*0.06</f>
        <v>4565560.53</v>
      </c>
      <c r="E60" s="4">
        <f>D60/D$20</f>
        <v>0.060000000000000005</v>
      </c>
      <c r="F60" s="20">
        <f>D60/D$7</f>
        <v>76.97467700737619</v>
      </c>
      <c r="H60" s="12">
        <f>H20*0.061</f>
        <v>4501550.144</v>
      </c>
      <c r="I60" s="4">
        <f>H60/H$20</f>
        <v>0.061000000000000006</v>
      </c>
      <c r="J60" s="20">
        <f>H60/H$7</f>
        <v>77.08133808219179</v>
      </c>
      <c r="L60" s="15">
        <f t="shared" si="4"/>
        <v>64010.38599999994</v>
      </c>
      <c r="M60" s="25">
        <f t="shared" si="5"/>
        <v>0.014219631893986059</v>
      </c>
    </row>
    <row r="61" spans="3:13" ht="13.5">
      <c r="C61" s="3" t="s">
        <v>28</v>
      </c>
      <c r="D61" s="12">
        <f>D20*0.065</f>
        <v>4946023.9075</v>
      </c>
      <c r="E61" s="4">
        <f>D61/D$20</f>
        <v>0.065</v>
      </c>
      <c r="F61" s="20">
        <f>D61/D$7</f>
        <v>83.38923342465753</v>
      </c>
      <c r="H61" s="12">
        <f>H20*0.064</f>
        <v>4722937.856</v>
      </c>
      <c r="I61" s="4">
        <f>H61/H$20</f>
        <v>0.064</v>
      </c>
      <c r="J61" s="20">
        <f>H61/H$7</f>
        <v>80.87222356164384</v>
      </c>
      <c r="L61" s="15">
        <f t="shared" si="4"/>
        <v>223086.05150000006</v>
      </c>
      <c r="M61" s="25">
        <f t="shared" si="5"/>
        <v>0.04723459386970178</v>
      </c>
    </row>
    <row r="62" spans="3:13" ht="13.5">
      <c r="C62" s="5" t="s">
        <v>33</v>
      </c>
      <c r="D62" s="13">
        <f>SUM(D58:D61)</f>
        <v>17881778.7425</v>
      </c>
      <c r="E62" s="4">
        <f>D62/D$20</f>
        <v>0.235</v>
      </c>
      <c r="F62" s="20">
        <f>D62/D$7</f>
        <v>301.4841516122234</v>
      </c>
      <c r="H62" s="13">
        <f>SUM(H58:H61)</f>
        <v>17415833.344</v>
      </c>
      <c r="I62" s="4">
        <f>H62/H$20</f>
        <v>0.23600000000000002</v>
      </c>
      <c r="J62" s="20">
        <f>H62/H$7</f>
        <v>298.21632438356164</v>
      </c>
      <c r="L62" s="15">
        <f t="shared" si="4"/>
        <v>465945.3984999992</v>
      </c>
      <c r="M62" s="25">
        <f t="shared" si="5"/>
        <v>0.026754125932223847</v>
      </c>
    </row>
    <row r="63" spans="4:13" ht="13.5">
      <c r="D63" s="17"/>
      <c r="E63" s="2"/>
      <c r="H63" s="17"/>
      <c r="I63" s="2"/>
      <c r="L63" s="17"/>
      <c r="M63" s="23"/>
    </row>
    <row r="64" spans="3:13" ht="13.5">
      <c r="C64" s="5" t="s">
        <v>34</v>
      </c>
      <c r="D64" s="16">
        <f>D55-D62</f>
        <v>28428286.5625</v>
      </c>
      <c r="E64" s="6">
        <f>D64/D20</f>
        <v>0.3736008278812591</v>
      </c>
      <c r="F64" s="20">
        <f>D64/D$7</f>
        <v>479.296717597471</v>
      </c>
      <c r="H64" s="16">
        <f>H55-H62</f>
        <v>27891875.995999996</v>
      </c>
      <c r="I64" s="6">
        <f>H64/H20</f>
        <v>0.3779596764069723</v>
      </c>
      <c r="J64" s="20">
        <f>H64/H$7</f>
        <v>477.60061636986296</v>
      </c>
      <c r="L64" s="15">
        <f t="shared" si="4"/>
        <v>536410.5665000044</v>
      </c>
      <c r="M64" s="25">
        <f t="shared" si="5"/>
        <v>0.01923178514693424</v>
      </c>
    </row>
    <row r="65" ht="15" thickBot="1"/>
    <row r="66" spans="3:12" ht="15" thickBot="1">
      <c r="C66" s="28" t="s">
        <v>49</v>
      </c>
      <c r="D66" s="29"/>
      <c r="E66" s="29"/>
      <c r="F66" s="29"/>
      <c r="G66" s="29"/>
      <c r="H66" s="29"/>
      <c r="I66" s="29"/>
      <c r="J66" s="30"/>
      <c r="K66" s="29"/>
      <c r="L66" s="31"/>
    </row>
  </sheetData>
  <mergeCells count="7">
    <mergeCell ref="C1:F1"/>
    <mergeCell ref="C2:F2"/>
    <mergeCell ref="H2:J2"/>
    <mergeCell ref="C3:F3"/>
    <mergeCell ref="H3:J3"/>
    <mergeCell ref="C4:F4"/>
    <mergeCell ref="H4:J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0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19.00390625" style="0" customWidth="1"/>
  </cols>
  <sheetData>
    <row r="2" spans="3:6" ht="13.5">
      <c r="C2" s="37" t="s">
        <v>40</v>
      </c>
      <c r="D2" s="37"/>
      <c r="E2" s="37"/>
      <c r="F2" s="37"/>
    </row>
    <row r="3" spans="3:6" ht="13.5">
      <c r="C3" s="36" t="s">
        <v>35</v>
      </c>
      <c r="D3" s="36"/>
      <c r="E3" s="36"/>
      <c r="F3" s="36"/>
    </row>
    <row r="4" spans="3:6" ht="13.5">
      <c r="C4" s="36" t="s">
        <v>36</v>
      </c>
      <c r="D4" s="36"/>
      <c r="E4" s="36"/>
      <c r="F4" s="36"/>
    </row>
    <row r="5" spans="3:6" ht="13.5">
      <c r="C5" s="36" t="s">
        <v>37</v>
      </c>
      <c r="D5" s="36"/>
      <c r="E5" s="36"/>
      <c r="F5" s="36"/>
    </row>
    <row r="9" ht="13.5">
      <c r="C9" t="s">
        <v>42</v>
      </c>
    </row>
    <row r="10" ht="13.5">
      <c r="C10" t="s">
        <v>0</v>
      </c>
    </row>
  </sheetData>
  <sheetProtection/>
  <mergeCells count="4">
    <mergeCell ref="C2:F2"/>
    <mergeCell ref="C3:F3"/>
    <mergeCell ref="C4:F4"/>
    <mergeCell ref="C5:F5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MANUEL  RIVERA GARCIA</dc:creator>
  <cp:keywords/>
  <dc:description/>
  <cp:lastModifiedBy>Luis Manuel Rivera Garcia</cp:lastModifiedBy>
  <dcterms:created xsi:type="dcterms:W3CDTF">2009-05-03T03:06:14Z</dcterms:created>
  <dcterms:modified xsi:type="dcterms:W3CDTF">2014-10-02T03:38:14Z</dcterms:modified>
  <cp:category/>
  <cp:version/>
  <cp:contentType/>
  <cp:contentStatus/>
</cp:coreProperties>
</file>